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31159E08-09CF-4F09-800A-FB162FD19B0E}" xr6:coauthVersionLast="47" xr6:coauthVersionMax="47" xr10:uidLastSave="{00000000-0000-0000-0000-000000000000}"/>
  <workbookProtection workbookAlgorithmName="SHA-512" workbookHashValue="UXbnnK+Wo03fFKq6LfDX6M2vUbvDHKknerv1YESWCnw+3FYHWqAN2gIeOwHrQexo57lYRbHqgkokoQ1ZUeDc/Q==" workbookSaltValue="YUjuMyH1IfKIGkOSN0A1PA==" workbookSpinCount="100000" lockStructure="1"/>
  <bookViews>
    <workbookView xWindow="-120" yWindow="-120" windowWidth="29040" windowHeight="15720" xr2:uid="{F002EBE3-F92D-4F19-A677-09BAD81E4BF2}"/>
  </bookViews>
  <sheets>
    <sheet name="Instructions" sheetId="7" r:id="rId1"/>
    <sheet name="Assumptions &amp; Monthly Breakdown" sheetId="1" r:id="rId2"/>
    <sheet name="Loan Summary | Use of Funds" sheetId="5" r:id="rId3"/>
    <sheet name="Three-Year Detailed Projections" sheetId="3" r:id="rId4"/>
  </sheets>
  <externalReferences>
    <externalReference r:id="rId5"/>
  </externalReferences>
  <definedNames>
    <definedName name="ActualNumberOfPayments">IFERROR(IF(LoanIsGood,IF(PaymentsPerYear=1,1,MATCH(0.01,End_Bal,-1)+1)),"")</definedName>
    <definedName name="ColumnTitle1">#REF!</definedName>
    <definedName name="End_Bal">#REF!</definedName>
    <definedName name="ExtraPayments">#REF!</definedName>
    <definedName name="InterestRate">#REF!</definedName>
    <definedName name="LastCol">MATCH(REPT("z",255),#REF!)</definedName>
    <definedName name="LastRow">MATCH(9.99E+307,#REF!)</definedName>
    <definedName name="LenderName">#REF!</definedName>
    <definedName name="Loan_Start">'[1]Loan Calculator'!$E$7</definedName>
    <definedName name="LoanAmount">#REF!</definedName>
    <definedName name="LoanIsGood">(#REF!*#REF!*#REF!*#REF!)&gt;0</definedName>
    <definedName name="LoanPeriod">#REF!</definedName>
    <definedName name="LoanStartDate">#REF!</definedName>
    <definedName name="PaymentsPerYear">#REF!</definedName>
    <definedName name="_xlnm.Print_Area" localSheetId="1">'Assumptions &amp; Monthly Breakdown'!$B$1:$AZ$56,'Assumptions &amp; Monthly Breakdown'!$B$57:$T$118</definedName>
    <definedName name="PrintArea_SET">OFFSET(#REF!,,,LastRow,LastCol)</definedName>
    <definedName name="RowTitleRegion1..E9">#REF!</definedName>
    <definedName name="RowTitleRegion2..I7">#REF!</definedName>
    <definedName name="RowTitleRegion3..E9">#REF!</definedName>
    <definedName name="RowTitleRegion4..H9">#REF!</definedName>
    <definedName name="ScheduledNumberOfPayments">#REF!</definedName>
    <definedName name="ScheduledPayment">#REF!</definedName>
    <definedName name="TotalEarlyPayments">SUM(#REF!)</definedName>
    <definedName name="TotalInterest">SUM(#REF!)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45" i="1" l="1"/>
  <c r="AI45" i="1"/>
  <c r="C17" i="5"/>
  <c r="AX13" i="1"/>
  <c r="AU13" i="1"/>
  <c r="AT13" i="1"/>
  <c r="AS13" i="1"/>
  <c r="AR13" i="1"/>
  <c r="AN13" i="1"/>
  <c r="AM13" i="1"/>
  <c r="AH13" i="1"/>
  <c r="AD13" i="1"/>
  <c r="AC13" i="1"/>
  <c r="AB13" i="1"/>
  <c r="X13" i="1"/>
  <c r="W13" i="1"/>
  <c r="AP13" i="1"/>
  <c r="AQ13" i="1"/>
  <c r="AE13" i="1"/>
  <c r="AV13" i="1"/>
  <c r="AW13" i="1"/>
  <c r="AO13" i="1"/>
  <c r="C34" i="1"/>
  <c r="AU15" i="1" l="1"/>
  <c r="AT15" i="1"/>
  <c r="AS15" i="1"/>
  <c r="AR15" i="1"/>
  <c r="AN15" i="1"/>
  <c r="AP15" i="1"/>
  <c r="AW15" i="1"/>
  <c r="AO15" i="1"/>
  <c r="AX15" i="1"/>
  <c r="AV15" i="1"/>
  <c r="AM15" i="1"/>
  <c r="AQ15" i="1"/>
  <c r="W15" i="1"/>
  <c r="AE15" i="1"/>
  <c r="X15" i="1"/>
  <c r="AH15" i="1"/>
  <c r="AC15" i="1"/>
  <c r="AD15" i="1"/>
  <c r="AB15" i="1"/>
  <c r="AF13" i="1"/>
  <c r="Y13" i="1"/>
  <c r="AG13" i="1"/>
  <c r="AA13" i="1"/>
  <c r="Z13" i="1"/>
  <c r="B21" i="3"/>
  <c r="B20" i="3"/>
  <c r="B19" i="3"/>
  <c r="R13" i="1"/>
  <c r="Q13" i="1"/>
  <c r="P13" i="1"/>
  <c r="O13" i="1"/>
  <c r="N13" i="1"/>
  <c r="M13" i="1"/>
  <c r="L13" i="1"/>
  <c r="K13" i="1"/>
  <c r="J13" i="1"/>
  <c r="I13" i="1"/>
  <c r="H13" i="1"/>
  <c r="G13" i="1"/>
  <c r="H14" i="1" l="1"/>
  <c r="Y15" i="1"/>
  <c r="AA15" i="1"/>
  <c r="Z15" i="1"/>
  <c r="AF15" i="1"/>
  <c r="AG15" i="1"/>
  <c r="AC14" i="1"/>
  <c r="AS14" i="1"/>
  <c r="AD14" i="1"/>
  <c r="AT14" i="1"/>
  <c r="AB14" i="1"/>
  <c r="AR14" i="1"/>
  <c r="AH14" i="1"/>
  <c r="AX14" i="1"/>
  <c r="AG14" i="1"/>
  <c r="AW14" i="1"/>
  <c r="AF14" i="1"/>
  <c r="AV14" i="1"/>
  <c r="AE14" i="1"/>
  <c r="AU14" i="1"/>
  <c r="AA14" i="1"/>
  <c r="AQ14" i="1"/>
  <c r="Z14" i="1"/>
  <c r="AP14" i="1"/>
  <c r="Y14" i="1"/>
  <c r="AO14" i="1"/>
  <c r="AN14" i="1"/>
  <c r="X14" i="1"/>
  <c r="W14" i="1"/>
  <c r="AY15" i="1"/>
  <c r="G19" i="3" s="1"/>
  <c r="AM14" i="1"/>
  <c r="N14" i="1"/>
  <c r="N15" i="1"/>
  <c r="K15" i="1"/>
  <c r="K14" i="1"/>
  <c r="O15" i="1"/>
  <c r="O14" i="1"/>
  <c r="J14" i="1"/>
  <c r="J15" i="1"/>
  <c r="H15" i="1"/>
  <c r="L15" i="1"/>
  <c r="L14" i="1"/>
  <c r="P15" i="1"/>
  <c r="P14" i="1"/>
  <c r="R14" i="1"/>
  <c r="R15" i="1"/>
  <c r="I15" i="1"/>
  <c r="I14" i="1"/>
  <c r="M14" i="1"/>
  <c r="M15" i="1"/>
  <c r="Q14" i="1"/>
  <c r="Q15" i="1"/>
  <c r="G15" i="1"/>
  <c r="G14" i="1"/>
  <c r="B23" i="3"/>
  <c r="AQ17" i="1" l="1"/>
  <c r="AQ19" i="1" s="1"/>
  <c r="AQ16" i="1"/>
  <c r="AQ18" i="1"/>
  <c r="AX17" i="1"/>
  <c r="AX19" i="1" s="1"/>
  <c r="AX16" i="1"/>
  <c r="AX18" i="1"/>
  <c r="AP17" i="1"/>
  <c r="AP19" i="1" s="1"/>
  <c r="AP16" i="1"/>
  <c r="AP18" i="1"/>
  <c r="AU17" i="1"/>
  <c r="AU19" i="1" s="1"/>
  <c r="AU16" i="1"/>
  <c r="AU18" i="1"/>
  <c r="AW18" i="1"/>
  <c r="AW16" i="1"/>
  <c r="AW17" i="1"/>
  <c r="AW19" i="1" s="1"/>
  <c r="AR16" i="1"/>
  <c r="AR18" i="1"/>
  <c r="AR17" i="1"/>
  <c r="AR19" i="1" s="1"/>
  <c r="AS18" i="1"/>
  <c r="AS17" i="1"/>
  <c r="AS19" i="1" s="1"/>
  <c r="AS16" i="1"/>
  <c r="AO18" i="1"/>
  <c r="AO16" i="1"/>
  <c r="AO17" i="1"/>
  <c r="AO19" i="1" s="1"/>
  <c r="AV18" i="1"/>
  <c r="AV17" i="1"/>
  <c r="AV19" i="1" s="1"/>
  <c r="AV16" i="1"/>
  <c r="AT17" i="1"/>
  <c r="AT19" i="1" s="1"/>
  <c r="AT16" i="1"/>
  <c r="AT18" i="1"/>
  <c r="AM17" i="1"/>
  <c r="AM16" i="1"/>
  <c r="AN18" i="1"/>
  <c r="AN17" i="1"/>
  <c r="AN19" i="1" s="1"/>
  <c r="AN16" i="1"/>
  <c r="AI15" i="1"/>
  <c r="E19" i="3" s="1"/>
  <c r="W17" i="1"/>
  <c r="W16" i="1"/>
  <c r="Y17" i="1"/>
  <c r="Y19" i="1" s="1"/>
  <c r="Y16" i="1"/>
  <c r="AA17" i="1"/>
  <c r="AA19" i="1" s="1"/>
  <c r="AA16" i="1"/>
  <c r="AF17" i="1"/>
  <c r="AF19" i="1" s="1"/>
  <c r="AF16" i="1"/>
  <c r="AH16" i="1"/>
  <c r="AH17" i="1"/>
  <c r="AH19" i="1" s="1"/>
  <c r="AD17" i="1"/>
  <c r="AD19" i="1" s="1"/>
  <c r="AD16" i="1"/>
  <c r="X17" i="1"/>
  <c r="X19" i="1" s="1"/>
  <c r="X16" i="1"/>
  <c r="Z16" i="1"/>
  <c r="Z17" i="1"/>
  <c r="Z19" i="1" s="1"/>
  <c r="AE17" i="1"/>
  <c r="AE19" i="1" s="1"/>
  <c r="AE16" i="1"/>
  <c r="AG17" i="1"/>
  <c r="AG16" i="1"/>
  <c r="AB17" i="1"/>
  <c r="AB19" i="1" s="1"/>
  <c r="AB16" i="1"/>
  <c r="AC17" i="1"/>
  <c r="AC19" i="1" s="1"/>
  <c r="AC16" i="1"/>
  <c r="AD18" i="1"/>
  <c r="AC18" i="1"/>
  <c r="AC20" i="1" s="1"/>
  <c r="AB18" i="1"/>
  <c r="AH18" i="1"/>
  <c r="AG18" i="1"/>
  <c r="AG19" i="1"/>
  <c r="AF18" i="1"/>
  <c r="AE18" i="1"/>
  <c r="AA18" i="1"/>
  <c r="Z18" i="1"/>
  <c r="Y18" i="1"/>
  <c r="X18" i="1"/>
  <c r="AM18" i="1"/>
  <c r="AY14" i="1"/>
  <c r="W18" i="1"/>
  <c r="AI14" i="1"/>
  <c r="S15" i="1"/>
  <c r="C19" i="3" s="1"/>
  <c r="P17" i="1"/>
  <c r="P16" i="1"/>
  <c r="K16" i="1"/>
  <c r="K17" i="1"/>
  <c r="R16" i="1"/>
  <c r="R17" i="1"/>
  <c r="Q17" i="1"/>
  <c r="Q16" i="1"/>
  <c r="M17" i="1"/>
  <c r="M16" i="1"/>
  <c r="H17" i="1"/>
  <c r="H16" i="1"/>
  <c r="J16" i="1"/>
  <c r="J17" i="1"/>
  <c r="I17" i="1"/>
  <c r="I16" i="1"/>
  <c r="L17" i="1"/>
  <c r="L16" i="1"/>
  <c r="O16" i="1"/>
  <c r="O17" i="1"/>
  <c r="N16" i="1"/>
  <c r="N17" i="1"/>
  <c r="G17" i="1"/>
  <c r="G16" i="1"/>
  <c r="G18" i="1"/>
  <c r="AQ20" i="1" l="1"/>
  <c r="AQ21" i="1" s="1"/>
  <c r="AU20" i="1"/>
  <c r="AU21" i="1" s="1"/>
  <c r="AI16" i="1"/>
  <c r="AI17" i="1"/>
  <c r="AC21" i="1"/>
  <c r="AS20" i="1"/>
  <c r="AS21" i="1" s="1"/>
  <c r="AN20" i="1"/>
  <c r="AN21" i="1" s="1"/>
  <c r="AM20" i="1"/>
  <c r="AO20" i="1"/>
  <c r="AO21" i="1" s="1"/>
  <c r="AV20" i="1"/>
  <c r="AV21" i="1" s="1"/>
  <c r="AW20" i="1"/>
  <c r="AW21" i="1" s="1"/>
  <c r="AP20" i="1"/>
  <c r="AP21" i="1" s="1"/>
  <c r="AG20" i="1"/>
  <c r="AG21" i="1" s="1"/>
  <c r="X20" i="1"/>
  <c r="X21" i="1" s="1"/>
  <c r="Z20" i="1"/>
  <c r="Z21" i="1" s="1"/>
  <c r="AX20" i="1"/>
  <c r="AX21" i="1" s="1"/>
  <c r="AT20" i="1"/>
  <c r="AT21" i="1" s="1"/>
  <c r="AB20" i="1"/>
  <c r="AB21" i="1" s="1"/>
  <c r="AD20" i="1"/>
  <c r="AD21" i="1" s="1"/>
  <c r="AR20" i="1"/>
  <c r="AR21" i="1" s="1"/>
  <c r="AH20" i="1"/>
  <c r="AE20" i="1"/>
  <c r="AE21" i="1" s="1"/>
  <c r="AF20" i="1"/>
  <c r="AF21" i="1" s="1"/>
  <c r="AI18" i="1"/>
  <c r="AA20" i="1"/>
  <c r="AA21" i="1" s="1"/>
  <c r="AY18" i="1"/>
  <c r="Y20" i="1"/>
  <c r="Y21" i="1" s="1"/>
  <c r="AY16" i="1"/>
  <c r="G20" i="3" s="1"/>
  <c r="W20" i="1"/>
  <c r="W19" i="1"/>
  <c r="AI19" i="1" s="1"/>
  <c r="AM19" i="1"/>
  <c r="AY19" i="1" s="1"/>
  <c r="AY17" i="1"/>
  <c r="G20" i="1"/>
  <c r="H18" i="1"/>
  <c r="H20" i="1" s="1"/>
  <c r="AH21" i="1" l="1"/>
  <c r="AH41" i="1"/>
  <c r="AY20" i="1"/>
  <c r="AM21" i="1"/>
  <c r="AY21" i="1" s="1"/>
  <c r="W21" i="1"/>
  <c r="AI20" i="1"/>
  <c r="H19" i="1"/>
  <c r="I18" i="1"/>
  <c r="I20" i="1" s="1"/>
  <c r="G19" i="1"/>
  <c r="G21" i="1" s="1"/>
  <c r="AI21" i="1" l="1"/>
  <c r="H21" i="1"/>
  <c r="J18" i="1"/>
  <c r="J20" i="1" s="1"/>
  <c r="J19" i="1" l="1"/>
  <c r="J21" i="1" s="1"/>
  <c r="K18" i="1"/>
  <c r="K20" i="1" s="1"/>
  <c r="I19" i="1"/>
  <c r="I21" i="1" s="1"/>
  <c r="K19" i="1" l="1"/>
  <c r="K21" i="1" l="1"/>
  <c r="M18" i="1"/>
  <c r="M20" i="1" s="1"/>
  <c r="L18" i="1"/>
  <c r="L20" i="1" s="1"/>
  <c r="L19" i="1"/>
  <c r="N18" i="1"/>
  <c r="N20" i="1" s="1"/>
  <c r="L21" i="1" l="1"/>
  <c r="M19" i="1"/>
  <c r="N19" i="1"/>
  <c r="O18" i="1"/>
  <c r="O20" i="1" s="1"/>
  <c r="N21" i="1" l="1"/>
  <c r="M21" i="1"/>
  <c r="P18" i="1"/>
  <c r="P20" i="1" s="1"/>
  <c r="P19" i="1" l="1"/>
  <c r="O19" i="1"/>
  <c r="Q18" i="1"/>
  <c r="Q20" i="1" s="1"/>
  <c r="P21" i="1" l="1"/>
  <c r="O21" i="1"/>
  <c r="Q19" i="1"/>
  <c r="R18" i="1"/>
  <c r="S18" i="1" l="1"/>
  <c r="C22" i="3" s="1"/>
  <c r="R20" i="1"/>
  <c r="Q21" i="1"/>
  <c r="S16" i="1" l="1"/>
  <c r="C20" i="3" s="1"/>
  <c r="R19" i="1"/>
  <c r="R21" i="1" s="1"/>
  <c r="S17" i="1"/>
  <c r="C21" i="3" s="1"/>
  <c r="S21" i="1" l="1"/>
  <c r="E22" i="3" l="1"/>
  <c r="E18" i="3" l="1"/>
  <c r="E20" i="3" l="1"/>
  <c r="E21" i="3"/>
  <c r="G22" i="3" l="1"/>
  <c r="B41" i="5" l="1"/>
  <c r="F41" i="5"/>
  <c r="G21" i="3" l="1"/>
  <c r="G37" i="1"/>
  <c r="AN37" i="1"/>
  <c r="AO37" i="1"/>
  <c r="AP37" i="1"/>
  <c r="AQ37" i="1"/>
  <c r="AR37" i="1"/>
  <c r="AS37" i="1"/>
  <c r="AT37" i="1"/>
  <c r="AU37" i="1"/>
  <c r="AV37" i="1"/>
  <c r="AW37" i="1"/>
  <c r="AX37" i="1"/>
  <c r="AM37" i="1"/>
  <c r="X37" i="1"/>
  <c r="Y37" i="1"/>
  <c r="Z37" i="1"/>
  <c r="AA37" i="1"/>
  <c r="AB37" i="1"/>
  <c r="AC37" i="1"/>
  <c r="AD37" i="1"/>
  <c r="AE37" i="1"/>
  <c r="AF37" i="1"/>
  <c r="AG37" i="1"/>
  <c r="AH37" i="1"/>
  <c r="W37" i="1"/>
  <c r="G38" i="1"/>
  <c r="B101" i="1"/>
  <c r="B55" i="7"/>
  <c r="G49" i="3"/>
  <c r="E49" i="3"/>
  <c r="S45" i="1"/>
  <c r="AW45" i="1" s="1"/>
  <c r="H37" i="1"/>
  <c r="I37" i="1"/>
  <c r="F105" i="1"/>
  <c r="AF27" i="1" l="1"/>
  <c r="AU27" i="1"/>
  <c r="AQ27" i="1"/>
  <c r="G18" i="3"/>
  <c r="AV27" i="1"/>
  <c r="AR27" i="1"/>
  <c r="AN27" i="1"/>
  <c r="S14" i="1"/>
  <c r="C18" i="3" s="1"/>
  <c r="AH27" i="1"/>
  <c r="AD27" i="1"/>
  <c r="Z27" i="1"/>
  <c r="AT27" i="1"/>
  <c r="AG27" i="1"/>
  <c r="AC27" i="1"/>
  <c r="AE27" i="1"/>
  <c r="AA27" i="1"/>
  <c r="X27" i="1"/>
  <c r="AP27" i="1"/>
  <c r="AX27" i="1"/>
  <c r="AM27" i="1"/>
  <c r="AS27" i="1"/>
  <c r="AW27" i="1"/>
  <c r="AI37" i="1"/>
  <c r="AY37" i="1"/>
  <c r="Q45" i="1"/>
  <c r="AA45" i="1"/>
  <c r="W45" i="1"/>
  <c r="AE45" i="1"/>
  <c r="AP45" i="1"/>
  <c r="AX45" i="1"/>
  <c r="X45" i="1"/>
  <c r="AF45" i="1"/>
  <c r="AM45" i="1"/>
  <c r="AU45" i="1"/>
  <c r="AT45" i="1"/>
  <c r="M45" i="1"/>
  <c r="AB45" i="1"/>
  <c r="AQ45" i="1"/>
  <c r="I45" i="1"/>
  <c r="Y45" i="1"/>
  <c r="AC45" i="1"/>
  <c r="AG45" i="1"/>
  <c r="AN45" i="1"/>
  <c r="AR45" i="1"/>
  <c r="AV45" i="1"/>
  <c r="Z45" i="1"/>
  <c r="AD45" i="1"/>
  <c r="AH45" i="1"/>
  <c r="AO45" i="1"/>
  <c r="AS45" i="1"/>
  <c r="C49" i="3"/>
  <c r="P45" i="1"/>
  <c r="L45" i="1"/>
  <c r="H45" i="1"/>
  <c r="G45" i="1"/>
  <c r="O45" i="1"/>
  <c r="K45" i="1"/>
  <c r="R45" i="1"/>
  <c r="N45" i="1"/>
  <c r="J45" i="1"/>
  <c r="B17" i="3"/>
  <c r="B53" i="3"/>
  <c r="B51" i="3"/>
  <c r="B50" i="3"/>
  <c r="B49" i="3"/>
  <c r="B48" i="3"/>
  <c r="B52" i="3"/>
  <c r="J53" i="3"/>
  <c r="J52" i="3"/>
  <c r="J51" i="3"/>
  <c r="J50" i="3"/>
  <c r="J49" i="3"/>
  <c r="F37" i="5"/>
  <c r="F36" i="5"/>
  <c r="F35" i="5"/>
  <c r="F34" i="5"/>
  <c r="F33" i="5"/>
  <c r="B109" i="1"/>
  <c r="B108" i="1"/>
  <c r="B107" i="1"/>
  <c r="B106" i="1"/>
  <c r="B105" i="1"/>
  <c r="B10" i="3"/>
  <c r="B9" i="3"/>
  <c r="B8" i="3"/>
  <c r="B10" i="5"/>
  <c r="B9" i="5"/>
  <c r="B8" i="5"/>
  <c r="F4" i="1"/>
  <c r="V4" i="1" s="1"/>
  <c r="AL4" i="1" s="1"/>
  <c r="F3" i="1"/>
  <c r="V3" i="1" s="1"/>
  <c r="AL3" i="1" s="1"/>
  <c r="F2" i="1"/>
  <c r="V2" i="1" s="1"/>
  <c r="AL2" i="1" s="1"/>
  <c r="D55" i="7"/>
  <c r="Y27" i="1" l="1"/>
  <c r="AO27" i="1"/>
  <c r="AY27" i="1" s="1"/>
  <c r="AB27" i="1"/>
  <c r="AM40" i="1"/>
  <c r="AH40" i="1"/>
  <c r="AV40" i="1"/>
  <c r="AX40" i="1"/>
  <c r="AT40" i="1"/>
  <c r="AQ40" i="1"/>
  <c r="X40" i="1"/>
  <c r="AA40" i="1"/>
  <c r="AC40" i="1"/>
  <c r="Z40" i="1"/>
  <c r="AN40" i="1"/>
  <c r="AU40" i="1"/>
  <c r="AE40" i="1"/>
  <c r="AG40" i="1"/>
  <c r="AD40" i="1"/>
  <c r="AR40" i="1"/>
  <c r="AF40" i="1"/>
  <c r="AW26" i="1"/>
  <c r="AW40" i="1"/>
  <c r="AP26" i="1"/>
  <c r="AP40" i="1"/>
  <c r="AO26" i="1"/>
  <c r="AO40" i="1"/>
  <c r="AS26" i="1"/>
  <c r="AS40" i="1"/>
  <c r="AB26" i="1"/>
  <c r="AB40" i="1"/>
  <c r="Y26" i="1"/>
  <c r="Y40" i="1"/>
  <c r="AE41" i="1"/>
  <c r="AE26" i="1"/>
  <c r="AC41" i="1"/>
  <c r="AC26" i="1"/>
  <c r="AA41" i="1"/>
  <c r="AA26" i="1"/>
  <c r="AH26" i="1"/>
  <c r="AG41" i="1"/>
  <c r="AG26" i="1"/>
  <c r="Z41" i="1"/>
  <c r="Z26" i="1"/>
  <c r="X41" i="1"/>
  <c r="X26" i="1"/>
  <c r="AD41" i="1"/>
  <c r="AD26" i="1"/>
  <c r="AF41" i="1"/>
  <c r="AF26" i="1"/>
  <c r="AX41" i="1"/>
  <c r="AX26" i="1"/>
  <c r="AR41" i="1"/>
  <c r="AR26" i="1"/>
  <c r="AV41" i="1"/>
  <c r="AV26" i="1"/>
  <c r="AT41" i="1"/>
  <c r="AT26" i="1"/>
  <c r="AQ41" i="1"/>
  <c r="AQ26" i="1"/>
  <c r="AM41" i="1"/>
  <c r="AM26" i="1"/>
  <c r="AN41" i="1"/>
  <c r="AN26" i="1"/>
  <c r="AU41" i="1"/>
  <c r="AU26" i="1"/>
  <c r="Y41" i="1"/>
  <c r="AW41" i="1"/>
  <c r="AP41" i="1"/>
  <c r="AB41" i="1"/>
  <c r="AO41" i="1"/>
  <c r="AS41" i="1"/>
  <c r="E23" i="3"/>
  <c r="AY41" i="1" l="1"/>
  <c r="AY40" i="1"/>
  <c r="AY26" i="1"/>
  <c r="C21" i="5"/>
  <c r="K33" i="1" l="1"/>
  <c r="L33" i="1"/>
  <c r="M33" i="1"/>
  <c r="N33" i="1"/>
  <c r="O33" i="1"/>
  <c r="P33" i="1"/>
  <c r="Q33" i="1"/>
  <c r="R33" i="1"/>
  <c r="G24" i="1"/>
  <c r="G23" i="1"/>
  <c r="H23" i="1"/>
  <c r="I23" i="1"/>
  <c r="G27" i="1" l="1"/>
  <c r="G25" i="1"/>
  <c r="G40" i="1" l="1"/>
  <c r="G41" i="1"/>
  <c r="G26" i="1"/>
  <c r="C20" i="5"/>
  <c r="C19" i="5"/>
  <c r="C18" i="5"/>
  <c r="H27" i="1" l="1"/>
  <c r="H26" i="1"/>
  <c r="H40" i="1"/>
  <c r="H41" i="1"/>
  <c r="I27" i="1" l="1"/>
  <c r="J27" i="1"/>
  <c r="J26" i="1"/>
  <c r="J40" i="1"/>
  <c r="I26" i="1"/>
  <c r="I40" i="1"/>
  <c r="J41" i="1"/>
  <c r="I41" i="1"/>
  <c r="H33" i="1"/>
  <c r="I33" i="1"/>
  <c r="G33" i="1"/>
  <c r="H39" i="1"/>
  <c r="I39" i="1"/>
  <c r="J39" i="1"/>
  <c r="K39" i="1"/>
  <c r="L39" i="1"/>
  <c r="M39" i="1"/>
  <c r="N39" i="1"/>
  <c r="O39" i="1"/>
  <c r="P39" i="1"/>
  <c r="Q39" i="1"/>
  <c r="R39" i="1"/>
  <c r="G39" i="1"/>
  <c r="C96" i="1"/>
  <c r="L27" i="1" l="1"/>
  <c r="K27" i="1"/>
  <c r="L26" i="1"/>
  <c r="L40" i="1"/>
  <c r="K26" i="1"/>
  <c r="K40" i="1"/>
  <c r="K41" i="1"/>
  <c r="L41" i="1"/>
  <c r="I42" i="1"/>
  <c r="H42" i="1"/>
  <c r="L42" i="1"/>
  <c r="G42" i="1"/>
  <c r="P42" i="1"/>
  <c r="O42" i="1"/>
  <c r="K42" i="1"/>
  <c r="R42" i="1"/>
  <c r="N42" i="1"/>
  <c r="J42" i="1"/>
  <c r="Q42" i="1"/>
  <c r="M42" i="1"/>
  <c r="M27" i="1" l="1"/>
  <c r="H38" i="1"/>
  <c r="I38" i="1"/>
  <c r="J38" i="1"/>
  <c r="K38" i="1"/>
  <c r="L38" i="1"/>
  <c r="M38" i="1"/>
  <c r="N38" i="1"/>
  <c r="O38" i="1"/>
  <c r="P38" i="1"/>
  <c r="Q38" i="1"/>
  <c r="R38" i="1"/>
  <c r="J37" i="1"/>
  <c r="K37" i="1"/>
  <c r="L37" i="1"/>
  <c r="M37" i="1"/>
  <c r="N37" i="1"/>
  <c r="O37" i="1"/>
  <c r="P37" i="1"/>
  <c r="Q37" i="1"/>
  <c r="R37" i="1"/>
  <c r="J33" i="1"/>
  <c r="H32" i="1"/>
  <c r="I32" i="1"/>
  <c r="J32" i="1"/>
  <c r="K32" i="1"/>
  <c r="L32" i="1"/>
  <c r="M32" i="1"/>
  <c r="N32" i="1"/>
  <c r="O32" i="1"/>
  <c r="P32" i="1"/>
  <c r="Q32" i="1"/>
  <c r="R32" i="1"/>
  <c r="G32" i="1"/>
  <c r="H31" i="1"/>
  <c r="I31" i="1"/>
  <c r="J31" i="1"/>
  <c r="K31" i="1"/>
  <c r="L31" i="1"/>
  <c r="M31" i="1"/>
  <c r="N31" i="1"/>
  <c r="O31" i="1"/>
  <c r="P31" i="1"/>
  <c r="Q31" i="1"/>
  <c r="R31" i="1"/>
  <c r="G31" i="1"/>
  <c r="I30" i="1"/>
  <c r="J30" i="1"/>
  <c r="K30" i="1"/>
  <c r="L30" i="1"/>
  <c r="M30" i="1"/>
  <c r="N30" i="1"/>
  <c r="O30" i="1"/>
  <c r="P30" i="1"/>
  <c r="Q30" i="1"/>
  <c r="R30" i="1"/>
  <c r="G29" i="1"/>
  <c r="H29" i="1"/>
  <c r="I29" i="1"/>
  <c r="J29" i="1"/>
  <c r="K29" i="1"/>
  <c r="L29" i="1"/>
  <c r="M29" i="1"/>
  <c r="N29" i="1"/>
  <c r="O29" i="1"/>
  <c r="P29" i="1"/>
  <c r="Q29" i="1"/>
  <c r="R29" i="1"/>
  <c r="H28" i="1"/>
  <c r="I28" i="1"/>
  <c r="J28" i="1"/>
  <c r="K28" i="1"/>
  <c r="L28" i="1"/>
  <c r="M28" i="1"/>
  <c r="N28" i="1"/>
  <c r="O28" i="1"/>
  <c r="P28" i="1"/>
  <c r="Q28" i="1"/>
  <c r="R28" i="1"/>
  <c r="G28" i="1"/>
  <c r="M24" i="1"/>
  <c r="M26" i="1" l="1"/>
  <c r="M40" i="1"/>
  <c r="M41" i="1"/>
  <c r="G30" i="3"/>
  <c r="S32" i="1"/>
  <c r="AI32" i="1" s="1"/>
  <c r="N27" i="1" l="1"/>
  <c r="N26" i="1"/>
  <c r="N40" i="1"/>
  <c r="N41" i="1"/>
  <c r="E36" i="3"/>
  <c r="AY32" i="1"/>
  <c r="Y32" i="1"/>
  <c r="AC32" i="1"/>
  <c r="AG32" i="1"/>
  <c r="AA32" i="1"/>
  <c r="Z32" i="1"/>
  <c r="AD32" i="1"/>
  <c r="AH32" i="1"/>
  <c r="AE32" i="1"/>
  <c r="W32" i="1"/>
  <c r="AF32" i="1"/>
  <c r="X32" i="1"/>
  <c r="AB32" i="1"/>
  <c r="C36" i="3"/>
  <c r="K24" i="1"/>
  <c r="L24" i="1"/>
  <c r="N24" i="1"/>
  <c r="O24" i="1"/>
  <c r="P24" i="1"/>
  <c r="Q24" i="1"/>
  <c r="R24" i="1"/>
  <c r="J24" i="1"/>
  <c r="I24" i="1"/>
  <c r="I25" i="1" s="1"/>
  <c r="H24" i="1"/>
  <c r="H25" i="1" s="1"/>
  <c r="K23" i="1"/>
  <c r="L23" i="1"/>
  <c r="M23" i="1"/>
  <c r="M25" i="1" s="1"/>
  <c r="N23" i="1"/>
  <c r="O23" i="1"/>
  <c r="P23" i="1"/>
  <c r="Q23" i="1"/>
  <c r="R23" i="1"/>
  <c r="J23" i="1"/>
  <c r="O27" i="1" l="1"/>
  <c r="O26" i="1"/>
  <c r="O40" i="1"/>
  <c r="O41" i="1"/>
  <c r="G36" i="3"/>
  <c r="AQ32" i="1"/>
  <c r="AU32" i="1"/>
  <c r="AR32" i="1"/>
  <c r="AV32" i="1"/>
  <c r="AM32" i="1"/>
  <c r="AO32" i="1"/>
  <c r="AW32" i="1"/>
  <c r="AN32" i="1"/>
  <c r="AT32" i="1"/>
  <c r="AP32" i="1"/>
  <c r="AX32" i="1"/>
  <c r="AS32" i="1"/>
  <c r="L25" i="1"/>
  <c r="K25" i="1"/>
  <c r="N25" i="1"/>
  <c r="O25" i="1"/>
  <c r="J25" i="1"/>
  <c r="R25" i="1"/>
  <c r="Q25" i="1"/>
  <c r="P25" i="1"/>
  <c r="S42" i="1"/>
  <c r="AI42" i="1" s="1"/>
  <c r="AY42" i="1" s="1"/>
  <c r="S39" i="1"/>
  <c r="AI39" i="1" s="1"/>
  <c r="S38" i="1"/>
  <c r="AI38" i="1" s="1"/>
  <c r="S37" i="1"/>
  <c r="S33" i="1"/>
  <c r="AI33" i="1" s="1"/>
  <c r="S31" i="1"/>
  <c r="AI31" i="1" s="1"/>
  <c r="S30" i="1"/>
  <c r="AI30" i="1" s="1"/>
  <c r="W30" i="1" s="1"/>
  <c r="S29" i="1"/>
  <c r="AI29" i="1" s="1"/>
  <c r="W29" i="1" s="1"/>
  <c r="S28" i="1"/>
  <c r="AI28" i="1" s="1"/>
  <c r="W28" i="1" s="1"/>
  <c r="B26" i="3"/>
  <c r="B27" i="3"/>
  <c r="B28" i="3"/>
  <c r="B29" i="3"/>
  <c r="B30" i="3"/>
  <c r="B31" i="3"/>
  <c r="B32" i="3"/>
  <c r="B33" i="3"/>
  <c r="B34" i="3"/>
  <c r="B35" i="3"/>
  <c r="B37" i="3"/>
  <c r="B38" i="3"/>
  <c r="B39" i="3"/>
  <c r="B40" i="3"/>
  <c r="B41" i="3"/>
  <c r="B42" i="3"/>
  <c r="B43" i="3"/>
  <c r="B44" i="3"/>
  <c r="B45" i="3"/>
  <c r="B46" i="3"/>
  <c r="B47" i="3"/>
  <c r="P27" i="1" l="1"/>
  <c r="P26" i="1"/>
  <c r="P40" i="1"/>
  <c r="P41" i="1"/>
  <c r="E43" i="3"/>
  <c r="AA39" i="1"/>
  <c r="AE39" i="1"/>
  <c r="W39" i="1"/>
  <c r="AF39" i="1"/>
  <c r="X39" i="1"/>
  <c r="AB39" i="1"/>
  <c r="AG39" i="1"/>
  <c r="AC39" i="1"/>
  <c r="Y39" i="1"/>
  <c r="AY39" i="1"/>
  <c r="AH39" i="1"/>
  <c r="AD39" i="1"/>
  <c r="Z39" i="1"/>
  <c r="E37" i="3"/>
  <c r="AY33" i="1"/>
  <c r="E35" i="3"/>
  <c r="AY31" i="1"/>
  <c r="E32" i="3"/>
  <c r="AY28" i="1"/>
  <c r="E33" i="3"/>
  <c r="AY29" i="1"/>
  <c r="E41" i="3"/>
  <c r="E34" i="3"/>
  <c r="AY30" i="1"/>
  <c r="E42" i="3"/>
  <c r="AH38" i="1"/>
  <c r="AA38" i="1"/>
  <c r="AE38" i="1"/>
  <c r="X38" i="1"/>
  <c r="AB38" i="1"/>
  <c r="W38" i="1"/>
  <c r="AY38" i="1"/>
  <c r="AC38" i="1"/>
  <c r="AG38" i="1"/>
  <c r="Z38" i="1"/>
  <c r="AD38" i="1"/>
  <c r="AF38" i="1"/>
  <c r="Y38" i="1"/>
  <c r="Z29" i="1"/>
  <c r="AD29" i="1"/>
  <c r="AH29" i="1"/>
  <c r="AA29" i="1"/>
  <c r="AE29" i="1"/>
  <c r="X29" i="1"/>
  <c r="AB29" i="1"/>
  <c r="AF29" i="1"/>
  <c r="Y29" i="1"/>
  <c r="AC29" i="1"/>
  <c r="AG29" i="1"/>
  <c r="X31" i="1"/>
  <c r="AB31" i="1"/>
  <c r="AF31" i="1"/>
  <c r="Y31" i="1"/>
  <c r="AC31" i="1"/>
  <c r="AG31" i="1"/>
  <c r="Z31" i="1"/>
  <c r="AD31" i="1"/>
  <c r="AH31" i="1"/>
  <c r="AE31" i="1"/>
  <c r="W31" i="1"/>
  <c r="AA31" i="1"/>
  <c r="AA30" i="1"/>
  <c r="AE30" i="1"/>
  <c r="X30" i="1"/>
  <c r="AB30" i="1"/>
  <c r="AF30" i="1"/>
  <c r="Y30" i="1"/>
  <c r="AC30" i="1"/>
  <c r="AG30" i="1"/>
  <c r="Z30" i="1"/>
  <c r="AD30" i="1"/>
  <c r="AH30" i="1"/>
  <c r="Y28" i="1"/>
  <c r="AC28" i="1"/>
  <c r="AG28" i="1"/>
  <c r="AE28" i="1"/>
  <c r="Z28" i="1"/>
  <c r="AD28" i="1"/>
  <c r="AH28" i="1"/>
  <c r="AA28" i="1"/>
  <c r="AF28" i="1"/>
  <c r="AB28" i="1"/>
  <c r="X28" i="1"/>
  <c r="Z33" i="1"/>
  <c r="AD33" i="1"/>
  <c r="AH33" i="1"/>
  <c r="X33" i="1"/>
  <c r="AF33" i="1"/>
  <c r="AA33" i="1"/>
  <c r="AE33" i="1"/>
  <c r="W33" i="1"/>
  <c r="AB33" i="1"/>
  <c r="Y33" i="1"/>
  <c r="AC33" i="1"/>
  <c r="AG33" i="1"/>
  <c r="R27" i="1"/>
  <c r="C42" i="3"/>
  <c r="C43" i="3"/>
  <c r="C35" i="3"/>
  <c r="C34" i="3"/>
  <c r="C41" i="3"/>
  <c r="C46" i="3"/>
  <c r="C37" i="3"/>
  <c r="C32" i="3"/>
  <c r="C33" i="3"/>
  <c r="AY43" i="1" l="1"/>
  <c r="AO29" i="1"/>
  <c r="AS29" i="1"/>
  <c r="AW29" i="1"/>
  <c r="AP29" i="1"/>
  <c r="AT29" i="1"/>
  <c r="AX29" i="1"/>
  <c r="AR29" i="1"/>
  <c r="AU29" i="1"/>
  <c r="AN29" i="1"/>
  <c r="AV29" i="1"/>
  <c r="AQ29" i="1"/>
  <c r="AM29" i="1"/>
  <c r="Q27" i="1"/>
  <c r="S27" i="1" s="1"/>
  <c r="C31" i="3" s="1"/>
  <c r="S20" i="1"/>
  <c r="R26" i="1"/>
  <c r="R40" i="1"/>
  <c r="Q26" i="1"/>
  <c r="Q40" i="1"/>
  <c r="Q41" i="1"/>
  <c r="R41" i="1"/>
  <c r="G35" i="3"/>
  <c r="AO31" i="1"/>
  <c r="AS31" i="1"/>
  <c r="AW31" i="1"/>
  <c r="AM31" i="1"/>
  <c r="AP31" i="1"/>
  <c r="AT31" i="1"/>
  <c r="AX31" i="1"/>
  <c r="AQ31" i="1"/>
  <c r="AU31" i="1"/>
  <c r="AV31" i="1"/>
  <c r="AR31" i="1"/>
  <c r="AN31" i="1"/>
  <c r="G32" i="3"/>
  <c r="AQ28" i="1"/>
  <c r="AU28" i="1"/>
  <c r="AR28" i="1"/>
  <c r="AV28" i="1"/>
  <c r="AS28" i="1"/>
  <c r="AN28" i="1"/>
  <c r="AM28" i="1"/>
  <c r="AW28" i="1"/>
  <c r="AP28" i="1"/>
  <c r="AT28" i="1"/>
  <c r="AO28" i="1"/>
  <c r="AX28" i="1"/>
  <c r="G37" i="3"/>
  <c r="AO33" i="1"/>
  <c r="AS33" i="1"/>
  <c r="AW33" i="1"/>
  <c r="AN33" i="1"/>
  <c r="AP33" i="1"/>
  <c r="AT33" i="1"/>
  <c r="AU33" i="1"/>
  <c r="AQ33" i="1"/>
  <c r="AX33" i="1"/>
  <c r="AM33" i="1"/>
  <c r="AV33" i="1"/>
  <c r="AR33" i="1"/>
  <c r="G44" i="3"/>
  <c r="G43" i="3"/>
  <c r="AV39" i="1"/>
  <c r="AN39" i="1"/>
  <c r="AR39" i="1"/>
  <c r="AW39" i="1"/>
  <c r="AO39" i="1"/>
  <c r="AS39" i="1"/>
  <c r="AX39" i="1"/>
  <c r="AT39" i="1"/>
  <c r="AP39" i="1"/>
  <c r="AM39" i="1"/>
  <c r="AU39" i="1"/>
  <c r="AQ39" i="1"/>
  <c r="G42" i="3"/>
  <c r="AN38" i="1"/>
  <c r="AR38" i="1"/>
  <c r="AM38" i="1"/>
  <c r="AV38" i="1"/>
  <c r="AO38" i="1"/>
  <c r="AS38" i="1"/>
  <c r="AT38" i="1"/>
  <c r="AW38" i="1"/>
  <c r="AP38" i="1"/>
  <c r="AU38" i="1"/>
  <c r="AX38" i="1"/>
  <c r="AQ38" i="1"/>
  <c r="G34" i="3"/>
  <c r="AM30" i="1"/>
  <c r="AQ30" i="1"/>
  <c r="AU30" i="1"/>
  <c r="AR30" i="1"/>
  <c r="AV30" i="1"/>
  <c r="AS30" i="1"/>
  <c r="AO30" i="1"/>
  <c r="AN30" i="1"/>
  <c r="AP30" i="1"/>
  <c r="AT30" i="1"/>
  <c r="AW30" i="1"/>
  <c r="AX30" i="1"/>
  <c r="G41" i="3"/>
  <c r="G33" i="3"/>
  <c r="G31" i="3"/>
  <c r="C24" i="3"/>
  <c r="S23" i="1"/>
  <c r="AI23" i="1" s="1"/>
  <c r="S24" i="1"/>
  <c r="AI24" i="1" s="1"/>
  <c r="S25" i="1"/>
  <c r="AI25" i="1" s="1"/>
  <c r="G34" i="1"/>
  <c r="K34" i="1"/>
  <c r="K35" i="1" s="1"/>
  <c r="M34" i="1"/>
  <c r="M35" i="1" s="1"/>
  <c r="Q34" i="1"/>
  <c r="I34" i="1"/>
  <c r="I35" i="1" s="1"/>
  <c r="L34" i="1"/>
  <c r="L35" i="1" s="1"/>
  <c r="N34" i="1"/>
  <c r="N35" i="1" s="1"/>
  <c r="J34" i="1"/>
  <c r="J35" i="1" s="1"/>
  <c r="O34" i="1"/>
  <c r="O35" i="1" s="1"/>
  <c r="P34" i="1"/>
  <c r="P35" i="1" s="1"/>
  <c r="H34" i="1"/>
  <c r="H35" i="1" s="1"/>
  <c r="R34" i="1"/>
  <c r="D22" i="3" l="1"/>
  <c r="D21" i="3"/>
  <c r="D20" i="3"/>
  <c r="D19" i="3"/>
  <c r="R35" i="1"/>
  <c r="S40" i="1"/>
  <c r="Q35" i="1"/>
  <c r="S26" i="1"/>
  <c r="C30" i="3" s="1"/>
  <c r="S41" i="1"/>
  <c r="AI41" i="1" s="1"/>
  <c r="E28" i="3"/>
  <c r="AY24" i="1"/>
  <c r="E27" i="3"/>
  <c r="AY23" i="1"/>
  <c r="E29" i="3"/>
  <c r="AY25" i="1"/>
  <c r="X24" i="1"/>
  <c r="AB24" i="1"/>
  <c r="AF24" i="1"/>
  <c r="AD24" i="1"/>
  <c r="AH24" i="1"/>
  <c r="Y24" i="1"/>
  <c r="AC24" i="1"/>
  <c r="AG24" i="1"/>
  <c r="Z24" i="1"/>
  <c r="AE24" i="1"/>
  <c r="AA24" i="1"/>
  <c r="W24" i="1"/>
  <c r="X23" i="1"/>
  <c r="AB23" i="1"/>
  <c r="AF23" i="1"/>
  <c r="Y23" i="1"/>
  <c r="AC23" i="1"/>
  <c r="AG23" i="1"/>
  <c r="Z23" i="1"/>
  <c r="AH23" i="1"/>
  <c r="AE23" i="1"/>
  <c r="AA23" i="1"/>
  <c r="W23" i="1"/>
  <c r="AD23" i="1"/>
  <c r="Y25" i="1"/>
  <c r="AC25" i="1"/>
  <c r="AG25" i="1"/>
  <c r="AE25" i="1"/>
  <c r="Z25" i="1"/>
  <c r="AD25" i="1"/>
  <c r="AH25" i="1"/>
  <c r="AA25" i="1"/>
  <c r="AF25" i="1"/>
  <c r="X25" i="1"/>
  <c r="AB25" i="1"/>
  <c r="W25" i="1"/>
  <c r="C29" i="3"/>
  <c r="C27" i="3"/>
  <c r="G35" i="1"/>
  <c r="C28" i="3"/>
  <c r="S34" i="1"/>
  <c r="AI34" i="1" s="1"/>
  <c r="C44" i="3" l="1"/>
  <c r="D44" i="3" s="1"/>
  <c r="AI40" i="1"/>
  <c r="C45" i="3"/>
  <c r="D45" i="3" s="1"/>
  <c r="E45" i="3"/>
  <c r="D49" i="3"/>
  <c r="D46" i="3"/>
  <c r="D41" i="3"/>
  <c r="D43" i="3"/>
  <c r="D42" i="3"/>
  <c r="D24" i="3"/>
  <c r="E24" i="3"/>
  <c r="W27" i="1"/>
  <c r="AI27" i="1" s="1"/>
  <c r="E31" i="3" s="1"/>
  <c r="E38" i="3"/>
  <c r="AY34" i="1"/>
  <c r="AY35" i="1" s="1"/>
  <c r="AY44" i="1" s="1"/>
  <c r="G28" i="3"/>
  <c r="AO24" i="1"/>
  <c r="AS24" i="1"/>
  <c r="AW24" i="1"/>
  <c r="AM24" i="1"/>
  <c r="AP24" i="1"/>
  <c r="AT24" i="1"/>
  <c r="AX24" i="1"/>
  <c r="AU24" i="1"/>
  <c r="AN24" i="1"/>
  <c r="AQ24" i="1"/>
  <c r="AV24" i="1"/>
  <c r="AR24" i="1"/>
  <c r="G27" i="3"/>
  <c r="AM23" i="1"/>
  <c r="AP23" i="1"/>
  <c r="AT23" i="1"/>
  <c r="AX23" i="1"/>
  <c r="AS23" i="1"/>
  <c r="AN23" i="1"/>
  <c r="AU23" i="1"/>
  <c r="AQ23" i="1"/>
  <c r="AV23" i="1"/>
  <c r="AR23" i="1"/>
  <c r="AO23" i="1"/>
  <c r="AW23" i="1"/>
  <c r="G29" i="3"/>
  <c r="AQ25" i="1"/>
  <c r="AU25" i="1"/>
  <c r="AR25" i="1"/>
  <c r="AV25" i="1"/>
  <c r="AM25" i="1"/>
  <c r="AS25" i="1"/>
  <c r="AO25" i="1"/>
  <c r="AP25" i="1"/>
  <c r="AT25" i="1"/>
  <c r="AW25" i="1"/>
  <c r="AX25" i="1"/>
  <c r="AN25" i="1"/>
  <c r="S35" i="1"/>
  <c r="AA34" i="1"/>
  <c r="AA35" i="1" s="1"/>
  <c r="AE34" i="1"/>
  <c r="AE35" i="1" s="1"/>
  <c r="W34" i="1"/>
  <c r="AC34" i="1"/>
  <c r="AC35" i="1" s="1"/>
  <c r="X34" i="1"/>
  <c r="X35" i="1" s="1"/>
  <c r="AB34" i="1"/>
  <c r="AB35" i="1" s="1"/>
  <c r="AF34" i="1"/>
  <c r="AF35" i="1" s="1"/>
  <c r="Y34" i="1"/>
  <c r="Y35" i="1" s="1"/>
  <c r="AG34" i="1"/>
  <c r="AG35" i="1" s="1"/>
  <c r="AD34" i="1"/>
  <c r="AD35" i="1" s="1"/>
  <c r="AH34" i="1"/>
  <c r="AH35" i="1" s="1"/>
  <c r="Z34" i="1"/>
  <c r="Z35" i="1" s="1"/>
  <c r="C38" i="3"/>
  <c r="AI43" i="1" l="1"/>
  <c r="E44" i="3"/>
  <c r="F22" i="3"/>
  <c r="F19" i="3"/>
  <c r="F20" i="3"/>
  <c r="F21" i="3"/>
  <c r="G24" i="3"/>
  <c r="W26" i="1"/>
  <c r="W40" i="1"/>
  <c r="W41" i="1"/>
  <c r="G45" i="3"/>
  <c r="T33" i="1"/>
  <c r="T28" i="1"/>
  <c r="T25" i="1"/>
  <c r="T24" i="1"/>
  <c r="C39" i="3"/>
  <c r="G38" i="3"/>
  <c r="AM34" i="1"/>
  <c r="AQ34" i="1"/>
  <c r="AU34" i="1"/>
  <c r="AP34" i="1"/>
  <c r="AV34" i="1"/>
  <c r="AX34" i="1"/>
  <c r="AO34" i="1"/>
  <c r="AT34" i="1"/>
  <c r="AN34" i="1"/>
  <c r="AR34" i="1"/>
  <c r="AW34" i="1"/>
  <c r="AS34" i="1"/>
  <c r="T23" i="1"/>
  <c r="T32" i="1"/>
  <c r="T30" i="1"/>
  <c r="T31" i="1"/>
  <c r="T26" i="1"/>
  <c r="T34" i="1"/>
  <c r="T29" i="1"/>
  <c r="T27" i="1"/>
  <c r="H22" i="3" l="1"/>
  <c r="AI26" i="1"/>
  <c r="AI35" i="1" s="1"/>
  <c r="AI44" i="1" s="1"/>
  <c r="W35" i="1"/>
  <c r="H21" i="3"/>
  <c r="H20" i="3"/>
  <c r="H19" i="3"/>
  <c r="D39" i="3"/>
  <c r="D36" i="3"/>
  <c r="D30" i="3"/>
  <c r="D33" i="3"/>
  <c r="D34" i="3"/>
  <c r="D37" i="3"/>
  <c r="D32" i="3"/>
  <c r="D31" i="3"/>
  <c r="D35" i="3"/>
  <c r="D28" i="3"/>
  <c r="D27" i="3"/>
  <c r="D29" i="3"/>
  <c r="D38" i="3"/>
  <c r="H49" i="3"/>
  <c r="H24" i="3"/>
  <c r="H41" i="3"/>
  <c r="H43" i="3"/>
  <c r="H44" i="3"/>
  <c r="H42" i="3"/>
  <c r="H45" i="3"/>
  <c r="F24" i="3"/>
  <c r="F49" i="3"/>
  <c r="F42" i="3"/>
  <c r="F44" i="3"/>
  <c r="F45" i="3"/>
  <c r="F43" i="3"/>
  <c r="F41" i="3"/>
  <c r="G39" i="3"/>
  <c r="AO35" i="1"/>
  <c r="AS35" i="1"/>
  <c r="AW35" i="1"/>
  <c r="AM35" i="1"/>
  <c r="AQ35" i="1"/>
  <c r="AV35" i="1"/>
  <c r="AN35" i="1"/>
  <c r="AP35" i="1"/>
  <c r="AR35" i="1"/>
  <c r="AX35" i="1"/>
  <c r="AT35" i="1"/>
  <c r="AU35" i="1"/>
  <c r="AZ26" i="1"/>
  <c r="AZ32" i="1"/>
  <c r="AZ30" i="1"/>
  <c r="AZ27" i="1"/>
  <c r="AZ31" i="1"/>
  <c r="AZ28" i="1"/>
  <c r="AZ29" i="1"/>
  <c r="AZ33" i="1"/>
  <c r="AZ24" i="1"/>
  <c r="AZ23" i="1"/>
  <c r="AZ25" i="1"/>
  <c r="AZ34" i="1"/>
  <c r="T35" i="1"/>
  <c r="E30" i="3" l="1"/>
  <c r="E39" i="3"/>
  <c r="AJ30" i="1"/>
  <c r="AJ24" i="1"/>
  <c r="AJ29" i="1"/>
  <c r="AJ27" i="1"/>
  <c r="AJ26" i="1"/>
  <c r="AJ33" i="1"/>
  <c r="AJ31" i="1"/>
  <c r="AJ23" i="1"/>
  <c r="AJ34" i="1"/>
  <c r="AJ32" i="1"/>
  <c r="AJ28" i="1"/>
  <c r="AJ25" i="1"/>
  <c r="H39" i="3"/>
  <c r="H30" i="3"/>
  <c r="H36" i="3"/>
  <c r="H32" i="3"/>
  <c r="H31" i="3"/>
  <c r="H33" i="3"/>
  <c r="H37" i="3"/>
  <c r="H34" i="3"/>
  <c r="H35" i="3"/>
  <c r="H28" i="3"/>
  <c r="H27" i="3"/>
  <c r="H29" i="3"/>
  <c r="H38" i="3"/>
  <c r="AZ35" i="1"/>
  <c r="F30" i="3" l="1"/>
  <c r="F37" i="3"/>
  <c r="F36" i="3"/>
  <c r="F32" i="3"/>
  <c r="F33" i="3"/>
  <c r="F31" i="3"/>
  <c r="F38" i="3"/>
  <c r="F34" i="3"/>
  <c r="F39" i="3"/>
  <c r="F27" i="3"/>
  <c r="F35" i="3"/>
  <c r="F28" i="3"/>
  <c r="F29" i="3"/>
  <c r="N43" i="1"/>
  <c r="P43" i="1"/>
  <c r="Q43" i="1"/>
  <c r="I43" i="1"/>
  <c r="M43" i="1"/>
  <c r="K43" i="1"/>
  <c r="L43" i="1"/>
  <c r="R43" i="1"/>
  <c r="O43" i="1"/>
  <c r="H43" i="1"/>
  <c r="J43" i="1"/>
  <c r="G43" i="1"/>
  <c r="G47" i="1" s="1"/>
  <c r="R44" i="1" l="1"/>
  <c r="R47" i="1"/>
  <c r="I44" i="1"/>
  <c r="I47" i="1"/>
  <c r="J44" i="1"/>
  <c r="J47" i="1"/>
  <c r="L44" i="1"/>
  <c r="L47" i="1"/>
  <c r="Q44" i="1"/>
  <c r="Q47" i="1"/>
  <c r="H44" i="1"/>
  <c r="H47" i="1"/>
  <c r="K44" i="1"/>
  <c r="K47" i="1"/>
  <c r="P44" i="1"/>
  <c r="P47" i="1"/>
  <c r="O44" i="1"/>
  <c r="O47" i="1"/>
  <c r="M44" i="1"/>
  <c r="M47" i="1"/>
  <c r="N44" i="1"/>
  <c r="N47" i="1"/>
  <c r="S43" i="1"/>
  <c r="S47" i="1" l="1"/>
  <c r="C31" i="5" s="1"/>
  <c r="C47" i="3"/>
  <c r="D47" i="3" s="1"/>
  <c r="G44" i="1" l="1"/>
  <c r="S19" i="1"/>
  <c r="C23" i="3" s="1"/>
  <c r="D23" i="3" s="1"/>
  <c r="S44" i="1" l="1"/>
  <c r="C48" i="3" s="1"/>
  <c r="D48" i="3" s="1"/>
  <c r="C25" i="3" l="1"/>
  <c r="D25" i="3" s="1"/>
  <c r="F23" i="3"/>
  <c r="G23" i="3" l="1"/>
  <c r="H23" i="3" s="1"/>
  <c r="E25" i="3" l="1"/>
  <c r="F25" i="3" s="1"/>
  <c r="G25" i="3" l="1"/>
  <c r="H25" i="3" s="1"/>
  <c r="C22" i="5" l="1"/>
  <c r="C23" i="5" s="1"/>
  <c r="C27" i="5" l="1"/>
  <c r="C24" i="5" s="1"/>
  <c r="C25" i="5" s="1"/>
  <c r="C29" i="5" s="1"/>
  <c r="G20" i="5" l="1"/>
  <c r="S48" i="1" s="1"/>
  <c r="H22" i="5"/>
  <c r="H23" i="5" s="1"/>
  <c r="I22" i="5"/>
  <c r="I23" i="5" s="1"/>
  <c r="G22" i="5"/>
  <c r="G23" i="5" s="1"/>
  <c r="H20" i="5"/>
  <c r="AI48" i="1" s="1"/>
  <c r="I20" i="5"/>
  <c r="AY48" i="1" s="1"/>
  <c r="R48" i="1" l="1"/>
  <c r="R49" i="1" s="1"/>
  <c r="H48" i="1"/>
  <c r="H49" i="1" s="1"/>
  <c r="I48" i="1"/>
  <c r="I49" i="1" s="1"/>
  <c r="M48" i="1"/>
  <c r="M49" i="1" s="1"/>
  <c r="P48" i="1"/>
  <c r="P49" i="1" s="1"/>
  <c r="N48" i="1"/>
  <c r="N49" i="1" s="1"/>
  <c r="G48" i="1"/>
  <c r="G49" i="1" s="1"/>
  <c r="K48" i="1"/>
  <c r="K49" i="1" s="1"/>
  <c r="L48" i="1"/>
  <c r="L49" i="1" s="1"/>
  <c r="J48" i="1"/>
  <c r="J49" i="1" s="1"/>
  <c r="O48" i="1"/>
  <c r="O49" i="1" s="1"/>
  <c r="C52" i="3"/>
  <c r="D52" i="3" s="1"/>
  <c r="Q48" i="1"/>
  <c r="Q49" i="1" s="1"/>
  <c r="AN48" i="1"/>
  <c r="AR48" i="1"/>
  <c r="AV48" i="1"/>
  <c r="AO48" i="1"/>
  <c r="AS48" i="1"/>
  <c r="AW48" i="1"/>
  <c r="AP48" i="1"/>
  <c r="AT48" i="1"/>
  <c r="AX48" i="1"/>
  <c r="AQ48" i="1"/>
  <c r="AU48" i="1"/>
  <c r="AM48" i="1"/>
  <c r="G52" i="3"/>
  <c r="H52" i="3" s="1"/>
  <c r="AA48" i="1"/>
  <c r="AE48" i="1"/>
  <c r="W48" i="1"/>
  <c r="X48" i="1"/>
  <c r="AB48" i="1"/>
  <c r="AF48" i="1"/>
  <c r="Y48" i="1"/>
  <c r="AC48" i="1"/>
  <c r="AG48" i="1"/>
  <c r="AD48" i="1"/>
  <c r="AH48" i="1"/>
  <c r="Z48" i="1"/>
  <c r="E52" i="3"/>
  <c r="F52" i="3" s="1"/>
  <c r="C35" i="5"/>
  <c r="C51" i="3"/>
  <c r="D51" i="3" s="1"/>
  <c r="S49" i="1" l="1"/>
  <c r="C53" i="3" s="1"/>
  <c r="D53" i="3" s="1"/>
  <c r="Z42" i="1"/>
  <c r="Z43" i="1" s="1"/>
  <c r="AC42" i="1"/>
  <c r="AC43" i="1" s="1"/>
  <c r="X42" i="1"/>
  <c r="X43" i="1" s="1"/>
  <c r="AF42" i="1"/>
  <c r="AF43" i="1"/>
  <c r="Y42" i="1"/>
  <c r="Y43" i="1" s="1"/>
  <c r="AA42" i="1"/>
  <c r="AA43" i="1" s="1"/>
  <c r="AD42" i="1"/>
  <c r="AD43" i="1" s="1"/>
  <c r="AG42" i="1"/>
  <c r="AG43" i="1"/>
  <c r="E47" i="3"/>
  <c r="F47" i="3" s="1"/>
  <c r="AB42" i="1"/>
  <c r="AB43" i="1" s="1"/>
  <c r="AH42" i="1"/>
  <c r="AH43" i="1" s="1"/>
  <c r="AE42" i="1"/>
  <c r="AE43" i="1" s="1"/>
  <c r="AE44" i="1" s="1"/>
  <c r="E48" i="3"/>
  <c r="F48" i="3" s="1"/>
  <c r="W42" i="1"/>
  <c r="W43" i="1" s="1"/>
  <c r="E46" i="3"/>
  <c r="F46" i="3" s="1"/>
  <c r="Z44" i="1" l="1"/>
  <c r="Z47" i="1"/>
  <c r="Z49" i="1" s="1"/>
  <c r="AG44" i="1"/>
  <c r="AG47" i="1"/>
  <c r="AG49" i="1" s="1"/>
  <c r="Y44" i="1"/>
  <c r="Y47" i="1"/>
  <c r="Y49" i="1" s="1"/>
  <c r="AC44" i="1"/>
  <c r="AC47" i="1"/>
  <c r="AC49" i="1" s="1"/>
  <c r="AF44" i="1"/>
  <c r="AF47" i="1"/>
  <c r="AF49" i="1" s="1"/>
  <c r="AH47" i="1"/>
  <c r="AH49" i="1" s="1"/>
  <c r="AH44" i="1"/>
  <c r="AD47" i="1"/>
  <c r="AD49" i="1" s="1"/>
  <c r="AD44" i="1"/>
  <c r="AA44" i="1"/>
  <c r="AA47" i="1"/>
  <c r="AA49" i="1" s="1"/>
  <c r="X44" i="1"/>
  <c r="X47" i="1"/>
  <c r="X49" i="1" s="1"/>
  <c r="W44" i="1"/>
  <c r="W47" i="1"/>
  <c r="AB47" i="1"/>
  <c r="AB49" i="1" s="1"/>
  <c r="AB44" i="1"/>
  <c r="AE47" i="1"/>
  <c r="AE49" i="1" s="1"/>
  <c r="AI47" i="1" l="1"/>
  <c r="E51" i="3" s="1"/>
  <c r="F51" i="3" s="1"/>
  <c r="W49" i="1"/>
  <c r="AI49" i="1" s="1"/>
  <c r="E53" i="3" s="1"/>
  <c r="F53" i="3" s="1"/>
  <c r="AW43" i="1"/>
  <c r="AW47" i="1" s="1"/>
  <c r="AW49" i="1" s="1"/>
  <c r="AQ43" i="1"/>
  <c r="AQ47" i="1" s="1"/>
  <c r="AQ49" i="1" s="1"/>
  <c r="AR43" i="1"/>
  <c r="AR47" i="1" s="1"/>
  <c r="AR49" i="1" s="1"/>
  <c r="AU43" i="1"/>
  <c r="AU44" i="1" s="1"/>
  <c r="AP43" i="1"/>
  <c r="AV43" i="1"/>
  <c r="AX43" i="1"/>
  <c r="AN43" i="1"/>
  <c r="G48" i="3"/>
  <c r="H48" i="3" s="1"/>
  <c r="AT43" i="1"/>
  <c r="AT44" i="1" s="1"/>
  <c r="AS43" i="1"/>
  <c r="AO43" i="1"/>
  <c r="AO44" i="1" s="1"/>
  <c r="AX42" i="1"/>
  <c r="AN42" i="1"/>
  <c r="G46" i="3"/>
  <c r="H46" i="3" s="1"/>
  <c r="AP42" i="1"/>
  <c r="AU42" i="1"/>
  <c r="AO42" i="1"/>
  <c r="AS42" i="1"/>
  <c r="AQ42" i="1"/>
  <c r="AT42" i="1"/>
  <c r="AR42" i="1"/>
  <c r="AV42" i="1"/>
  <c r="AM42" i="1"/>
  <c r="AW42" i="1"/>
  <c r="AM43" i="1"/>
  <c r="AM44" i="1" s="1"/>
  <c r="G47" i="3"/>
  <c r="H47" i="3" s="1"/>
  <c r="AP44" i="1" l="1"/>
  <c r="AP47" i="1"/>
  <c r="AP49" i="1" s="1"/>
  <c r="AV47" i="1"/>
  <c r="AV49" i="1" s="1"/>
  <c r="AV44" i="1"/>
  <c r="AS44" i="1"/>
  <c r="AS47" i="1"/>
  <c r="AS49" i="1" s="1"/>
  <c r="AX47" i="1"/>
  <c r="AX49" i="1" s="1"/>
  <c r="AX44" i="1"/>
  <c r="AN44" i="1"/>
  <c r="AN47" i="1"/>
  <c r="AN49" i="1" s="1"/>
  <c r="AO47" i="1"/>
  <c r="AO49" i="1" s="1"/>
  <c r="AM47" i="1"/>
  <c r="AM49" i="1" s="1"/>
  <c r="AT47" i="1"/>
  <c r="AT49" i="1" s="1"/>
  <c r="AR44" i="1"/>
  <c r="AU47" i="1"/>
  <c r="AU49" i="1" s="1"/>
  <c r="AQ44" i="1"/>
  <c r="AW44" i="1"/>
  <c r="AY49" i="1" l="1"/>
  <c r="G53" i="3" s="1"/>
  <c r="H53" i="3" s="1"/>
  <c r="AY47" i="1"/>
  <c r="G51" i="3" s="1"/>
  <c r="H51" i="3" s="1"/>
</calcChain>
</file>

<file path=xl/sharedStrings.xml><?xml version="1.0" encoding="utf-8"?>
<sst xmlns="http://schemas.openxmlformats.org/spreadsheetml/2006/main" count="356" uniqueCount="218">
  <si>
    <t>MONTH</t>
  </si>
  <si>
    <t>Total</t>
  </si>
  <si>
    <t>Gross Profit</t>
  </si>
  <si>
    <t>Office Supplies</t>
  </si>
  <si>
    <t>Advertising</t>
  </si>
  <si>
    <t>Royalties</t>
  </si>
  <si>
    <t>Total Expenses</t>
  </si>
  <si>
    <t>Date</t>
  </si>
  <si>
    <t>%</t>
  </si>
  <si>
    <t>Salaries and Wages</t>
  </si>
  <si>
    <t>Trash Removal</t>
  </si>
  <si>
    <t>Uniforms</t>
  </si>
  <si>
    <t>Pest Control</t>
  </si>
  <si>
    <t>Freight</t>
  </si>
  <si>
    <t>Postage</t>
  </si>
  <si>
    <t>Gifts</t>
  </si>
  <si>
    <t>Promotions</t>
  </si>
  <si>
    <t>Printing</t>
  </si>
  <si>
    <t>Travel / Lodging</t>
  </si>
  <si>
    <t>Theft / Shrinkage</t>
  </si>
  <si>
    <t>Meals / Entertainment</t>
  </si>
  <si>
    <t>Parking / Tolls</t>
  </si>
  <si>
    <t>Laundry / Linen</t>
  </si>
  <si>
    <t>Cleaning / Janitorial</t>
  </si>
  <si>
    <t>Alarm / Security</t>
  </si>
  <si>
    <t>Payroll Taxes</t>
  </si>
  <si>
    <t>Legal / Accounting</t>
  </si>
  <si>
    <t>Automobile</t>
  </si>
  <si>
    <t>Dues / Subscriptions</t>
  </si>
  <si>
    <t>Telephone</t>
  </si>
  <si>
    <t>Utilities</t>
  </si>
  <si>
    <t>Total Controllable Expenses</t>
  </si>
  <si>
    <t>Licenses / Permits</t>
  </si>
  <si>
    <t>Total Fixed Expenses</t>
  </si>
  <si>
    <t>Repairs / Maintenance</t>
  </si>
  <si>
    <t>Controllable Expenses:</t>
  </si>
  <si>
    <t>Fixed Expenses:</t>
  </si>
  <si>
    <t>per month</t>
  </si>
  <si>
    <t>Travel</t>
  </si>
  <si>
    <t>Software Fees</t>
  </si>
  <si>
    <t>Credit Card Fees</t>
  </si>
  <si>
    <t>Franchise Fee</t>
  </si>
  <si>
    <t>Inventory</t>
  </si>
  <si>
    <t>Startup Working Capital</t>
  </si>
  <si>
    <t>Incorporation Fee</t>
  </si>
  <si>
    <t>Operating Working Capital</t>
  </si>
  <si>
    <t>Preopening Advertising</t>
  </si>
  <si>
    <t>TOTAL PROJECT COSTS</t>
  </si>
  <si>
    <t>Training Fee, Travel &amp; Supplies</t>
  </si>
  <si>
    <t xml:space="preserve">Equity Injection (B) </t>
  </si>
  <si>
    <t>Operating Expenses</t>
  </si>
  <si>
    <t>AMOUNT OF LOAN REQUEST (A - B)</t>
  </si>
  <si>
    <t># of Months</t>
  </si>
  <si>
    <t>Year 1</t>
  </si>
  <si>
    <t>Year 2</t>
  </si>
  <si>
    <t>Year 3</t>
  </si>
  <si>
    <t>Initial Investment</t>
  </si>
  <si>
    <t>Salaries &amp; Wages Q1</t>
  </si>
  <si>
    <t xml:space="preserve">Salaries &amp; Wages </t>
  </si>
  <si>
    <t>Utilities Q1</t>
  </si>
  <si>
    <t>Loan Request Summary</t>
  </si>
  <si>
    <t>On Going</t>
  </si>
  <si>
    <t>Payroll Service</t>
  </si>
  <si>
    <t>Bank Charges</t>
  </si>
  <si>
    <t>and credit cards</t>
  </si>
  <si>
    <t>Net Sales</t>
  </si>
  <si>
    <t>TOTAL USE OF FUNDS (A)</t>
  </si>
  <si>
    <t>Equipment, Furniture &amp; Fixtures</t>
  </si>
  <si>
    <t>Closing Costs (Estimated)</t>
  </si>
  <si>
    <t>Interest Expense</t>
  </si>
  <si>
    <t>Total Operating Expenses.</t>
  </si>
  <si>
    <t>YEAR 1 PROJECTION</t>
  </si>
  <si>
    <t>YEAR 2 PROJECTION</t>
  </si>
  <si>
    <t>Equity Injection Percentage</t>
  </si>
  <si>
    <t>Closing Costs (Estimated) - Percentage</t>
  </si>
  <si>
    <t>Year 3 Percent Expense Increase</t>
  </si>
  <si>
    <t>Year 2 Percent Expense Increase</t>
  </si>
  <si>
    <t>Q1 (Startup)</t>
  </si>
  <si>
    <t>Name</t>
  </si>
  <si>
    <t>Sales Tax</t>
  </si>
  <si>
    <t>Year #</t>
  </si>
  <si>
    <t>Interest Expense Rate Factor</t>
  </si>
  <si>
    <t>Loan Payment Rate Factor</t>
  </si>
  <si>
    <t>Loan Payment</t>
  </si>
  <si>
    <t>Debt Coverage Ratio</t>
  </si>
  <si>
    <t>YEAR 3 PROJECTION</t>
  </si>
  <si>
    <t>Operating Expenses (Sum of below):</t>
  </si>
  <si>
    <t>Insurance (All)</t>
  </si>
  <si>
    <t>Operating Expenses include Total Expenses * # of months above.</t>
  </si>
  <si>
    <t>Loan Request Summary|Use of Funds</t>
  </si>
  <si>
    <t>Welcome to the Business Finance Depot Loan Request Template!</t>
  </si>
  <si>
    <t>We hope the model provided will serve you well in the process of beginning your new venture!</t>
  </si>
  <si>
    <t>Points to Follow:</t>
  </si>
  <si>
    <t>Estimated Three-Year Projections</t>
  </si>
  <si>
    <t>Notes:</t>
  </si>
  <si>
    <t>Phone:</t>
  </si>
  <si>
    <t>Email:</t>
  </si>
  <si>
    <t>Contact Person:</t>
  </si>
  <si>
    <t>Venture Name:</t>
  </si>
  <si>
    <t>Address:</t>
  </si>
  <si>
    <t>How to use the Business Finance Depot Client workbook:</t>
  </si>
  <si>
    <t>Questions, please contact:</t>
  </si>
  <si>
    <t>Business Finance Depot</t>
  </si>
  <si>
    <t>P: 800-788-3884</t>
  </si>
  <si>
    <t>E: Paul@BusinessFinanceDepot.com</t>
  </si>
  <si>
    <t>Paul Bosley</t>
  </si>
  <si>
    <t>W: Businessfinancedepot.com</t>
  </si>
  <si>
    <t>Where to Start:</t>
  </si>
  <si>
    <t>1) Instructions Worksheet -&gt; Provides overall information on how to use the Business Finance Depot Client workbook</t>
  </si>
  <si>
    <t>Instructions: Enter/Update data in Column C shaded in orange:</t>
  </si>
  <si>
    <t>Color coding matches</t>
  </si>
  <si>
    <t>with Loan Summary</t>
  </si>
  <si>
    <t>Worksheet.</t>
  </si>
  <si>
    <t>*Common Area Maintenance (CAM)</t>
  </si>
  <si>
    <t>*Earnings Before Interest, Taxes, Depreciation, &amp; Amortization</t>
  </si>
  <si>
    <t>Depreciation &amp; Amortization</t>
  </si>
  <si>
    <t>Gross Sales / Revenue</t>
  </si>
  <si>
    <t>Do not enter</t>
  </si>
  <si>
    <t>*Driven by Interest Expense Table</t>
  </si>
  <si>
    <t>Net Profit (Loss)</t>
  </si>
  <si>
    <t>EBITDA* (Profit / (Loss) before Tax</t>
  </si>
  <si>
    <t>EBITDA* (Profit/(Loss) before Tax</t>
  </si>
  <si>
    <t>I certify that I have read and understand the above instructions and disclaimer:</t>
  </si>
  <si>
    <t>I certify that the forgoing data fairly represents potential annual earnings to the best of my knowledge and have read the above disclaimer:</t>
  </si>
  <si>
    <t>Interest Expense - SBA or Other</t>
  </si>
  <si>
    <t>Interest expense will vary based upon loan term and interest rate.  Please contact Business Finance Depot to help with this loan calculation if needed.</t>
  </si>
  <si>
    <t>View Debt Coverage Ratio on Loan Summary | Use of Funds in cell C36.</t>
  </si>
  <si>
    <t>Assumptions | Projected Profit/Loss - Year 1</t>
  </si>
  <si>
    <t>Assumptions | Projected Profit/Loss - Year 2</t>
  </si>
  <si>
    <t>Assumptions | Projected Profit/Loss - Year 3</t>
  </si>
  <si>
    <t>Officer Salary</t>
  </si>
  <si>
    <t>Cable / Satellite</t>
  </si>
  <si>
    <t>Cash Over/ Short</t>
  </si>
  <si>
    <t>Contract Labor</t>
  </si>
  <si>
    <t>Employee Benefits</t>
  </si>
  <si>
    <t>Pension / Profit sharing</t>
  </si>
  <si>
    <t>Recruitment Expense</t>
  </si>
  <si>
    <t>Assumptions / Revenue</t>
  </si>
  <si>
    <t>Determined by table</t>
  </si>
  <si>
    <t xml:space="preserve">Sales:  </t>
  </si>
  <si>
    <t>This workbook contains the following four worksheets that can be individually viewed by clicking on the worksheet tab on the bottom of this page.</t>
  </si>
  <si>
    <t>2) Assumptions &amp; Monthly Breakdown -&gt; This is where you will enter specific information about your venture to populate the entire worksheet.</t>
  </si>
  <si>
    <t>&gt;&gt;&gt;&gt; This worksheet also includes a three year detailed financial view broken out by month for you to visualize the impact of your assumptions.</t>
  </si>
  <si>
    <t>3) Loan Summary | Use of Funds -&gt; This will be automatically generated and provide an overall Loan Summary.</t>
  </si>
  <si>
    <t>4) Three-Year Detailed Projections -&gt; This will be automatically generated and provide a three year financial projection of your venture.</t>
  </si>
  <si>
    <t>Fill out the requested information in Column C (shaded in orange) of the "Assumptions &amp; Monthly Breakdown" tab.</t>
  </si>
  <si>
    <t>Upon completion of the requested information, review three year financial projections along with the other worksheets to review financial projections.</t>
  </si>
  <si>
    <t>Only adjust "assumptions" within the "Assumptions &amp; Monthly Breakdown" worksheet. -&gt; Updating here will update entire workbook.</t>
  </si>
  <si>
    <t>Enter your data in Column C on the Assumptions &amp; Monthly Breakdown tab shaded orange.  All worksheets will recalculate automatically.</t>
  </si>
  <si>
    <t>&gt;&gt; The template includes sample data which will need to be updated based on your specific venture.</t>
  </si>
  <si>
    <t>&gt;&gt; ONLY MODIFY COLUMNS SHADED IN ORANGE TO PREVENT INCORRECT MANIPULATION OF FORMULAS THAT DRIVE ALL WORKSHEETS.</t>
  </si>
  <si>
    <t>Information about your venture. It is important that you include this information for the lender. (Update below with your information):</t>
  </si>
  <si>
    <t>Customers/Month</t>
  </si>
  <si>
    <t>Supplies</t>
  </si>
  <si>
    <t>Misc.</t>
  </si>
  <si>
    <t>*Loan calculations are based on the standard 10 year term at 6%. If your loan terms are different than a normal 10 year term at 6%, you should contact Business Finance Depot for assistance in adjustments.</t>
  </si>
  <si>
    <t>Rule of Thumb: Debt Coverage Ratio must be 1.35 or more for a loan to be approved.</t>
  </si>
  <si>
    <t>Check franchise agreement</t>
  </si>
  <si>
    <t>Includes Worker's Comp, Property, Casualty, Auto, etc.</t>
  </si>
  <si>
    <t>% x Gross Sales</t>
  </si>
  <si>
    <t>Including sales tax</t>
  </si>
  <si>
    <t>Customers</t>
  </si>
  <si>
    <t>Total Expenses before Interest Expense</t>
  </si>
  <si>
    <t>Franchise Fees</t>
  </si>
  <si>
    <t>If fixed amount</t>
  </si>
  <si>
    <t>Monthly Occupancy Rate</t>
  </si>
  <si>
    <t>Month 1</t>
  </si>
  <si>
    <t>Month 2</t>
  </si>
  <si>
    <t>Month 3</t>
  </si>
  <si>
    <t>Month 4</t>
  </si>
  <si>
    <t>Month 5</t>
  </si>
  <si>
    <t>Month 6</t>
  </si>
  <si>
    <t>Month 7</t>
  </si>
  <si>
    <t>Month 8</t>
  </si>
  <si>
    <t>Month 9</t>
  </si>
  <si>
    <t>Month 10</t>
  </si>
  <si>
    <t>Month 11</t>
  </si>
  <si>
    <t>Month 12</t>
  </si>
  <si>
    <t>Store Sales/Food Service/Retail</t>
  </si>
  <si>
    <t>Rentals</t>
  </si>
  <si>
    <t>Tents/Yurts/Teepees/Wagons (Glamping)</t>
  </si>
  <si>
    <t>Occupancy Rate /Month</t>
  </si>
  <si>
    <t>*Peak occupancy is 100% and months that your location will be closed will be 0%.</t>
  </si>
  <si>
    <t>% of All Sales</t>
  </si>
  <si>
    <t>COGS  (Cost of Goods Sold)</t>
  </si>
  <si>
    <t>Cost of Good Sold</t>
  </si>
  <si>
    <t>Cancellation Fee</t>
  </si>
  <si>
    <t>Cancellation Fees</t>
  </si>
  <si>
    <t>% of Cancellation</t>
  </si>
  <si>
    <t>*"Percent Expense Increase" represents  increased cost of expenses year over year. Year 2 and 3 projections use these %'s to update the relevant expenses.</t>
  </si>
  <si>
    <t>*Operating Working Capital is average monthly "Total Expenses before Interest Expense" in  Assumptions worksheet multiplied by the number of months in C33 on the Loan Summary | Use of Funds worksheet.</t>
  </si>
  <si>
    <t>Includes structures</t>
  </si>
  <si>
    <t>Security Deposit (if any)</t>
  </si>
  <si>
    <t>Year 1 Rent &amp; CAM</t>
  </si>
  <si>
    <t>Year 2 Rent &amp; CAM</t>
  </si>
  <si>
    <t>Year 3 Rent &amp; CAM</t>
  </si>
  <si>
    <t>If renting land</t>
  </si>
  <si>
    <t xml:space="preserve"> Based on 25 yr. loan term</t>
  </si>
  <si>
    <t>Royalties (if any)</t>
  </si>
  <si>
    <t>Rent &amp; CAM*</t>
  </si>
  <si>
    <t>Rent &amp; CAM</t>
  </si>
  <si>
    <t>Minimum 10% required</t>
  </si>
  <si>
    <t>Construction Contingency (10%)</t>
  </si>
  <si>
    <t>% Year 1</t>
  </si>
  <si>
    <t>% Year 2</t>
  </si>
  <si>
    <t>% Year 3</t>
  </si>
  <si>
    <r>
      <t>Copyright © </t>
    </r>
    <r>
      <rPr>
        <b/>
        <sz val="12"/>
        <color rgb="FF202124"/>
        <rFont val="Calibri"/>
        <family val="2"/>
        <scheme val="minor"/>
      </rPr>
      <t>2021 Health Club Experts.com, LLC d/b/a Business Finance Depot</t>
    </r>
  </si>
  <si>
    <t>Average Customers</t>
  </si>
  <si>
    <t>Year 2 Price Increase</t>
  </si>
  <si>
    <t>Year 3 Price Increase</t>
  </si>
  <si>
    <t>Construction/Real Estate Purchase</t>
  </si>
  <si>
    <t>Sales - Tents/Yurts/Teepees/Wagons</t>
  </si>
  <si>
    <t>Sales - Rental (golf carts, etc.)</t>
  </si>
  <si>
    <t>Sales - Rental (% of occupants)</t>
  </si>
  <si>
    <t>Sales - Store Sales/Food Service/Retail</t>
  </si>
  <si>
    <t>Sales - Store (% of occupants)</t>
  </si>
  <si>
    <t>Interest Expense @ 9.25%</t>
  </si>
  <si>
    <t>Real Estate Purchase &amp;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</si>
</sst>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43" formatCode="_(* #,##0.00_);_(* \(#,##0.00\);_(* &quot;-&quot;??_);_(@_)"/>
    <numFmt numFmtId="164" formatCode="General_)"/>
    <numFmt numFmtId="165" formatCode="&quot;$&quot;#,##0"/>
    <numFmt numFmtId="166" formatCode="_(&quot;$&quot;* #,##0_);_(&quot;$&quot;* \(#,##0\);_(&quot;$&quot;* &quot;-&quot;??_);_(@_)"/>
    <numFmt numFmtId="167" formatCode="0.0%"/>
    <numFmt numFmtId="168" formatCode="_(* #,##0_);_(* \(#,##0\);_(* &quot;-&quot;??_);_(@_)"/>
  </numFmts>
  <fonts count="34" x14ac:knownFonts="1">
    <font>
      <sz val="10"/>
      <name val="Helv"/>
    </font>
    <font>
      <sz val="12"/>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8"/>
      <name val="Helv"/>
    </font>
    <font>
      <sz val="12"/>
      <name val="Calibri"/>
      <family val="2"/>
      <scheme val="minor"/>
    </font>
    <font>
      <b/>
      <sz val="12"/>
      <name val="Calibri"/>
      <family val="2"/>
      <scheme val="minor"/>
    </font>
    <font>
      <sz val="10"/>
      <name val="Helv"/>
    </font>
    <font>
      <b/>
      <sz val="12"/>
      <color theme="1"/>
      <name val="Calibri"/>
      <family val="2"/>
      <scheme val="minor"/>
    </font>
    <font>
      <sz val="12"/>
      <color rgb="FFFF0000"/>
      <name val="Calibri"/>
      <family val="2"/>
      <scheme val="minor"/>
    </font>
    <font>
      <b/>
      <sz val="20"/>
      <name val="Calibri"/>
      <family val="2"/>
      <scheme val="minor"/>
    </font>
    <font>
      <sz val="20"/>
      <name val="Calibri"/>
      <family val="2"/>
      <scheme val="minor"/>
    </font>
    <font>
      <sz val="16"/>
      <color theme="1"/>
      <name val="Calibri"/>
      <family val="2"/>
      <scheme val="minor"/>
    </font>
    <font>
      <b/>
      <u/>
      <sz val="16"/>
      <color theme="1"/>
      <name val="Calibri"/>
      <family val="2"/>
      <scheme val="minor"/>
    </font>
    <font>
      <b/>
      <u/>
      <sz val="12"/>
      <color theme="1"/>
      <name val="Calibri"/>
      <family val="2"/>
      <scheme val="minor"/>
    </font>
    <font>
      <b/>
      <sz val="20"/>
      <color theme="1"/>
      <name val="Calibri"/>
      <family val="2"/>
      <scheme val="minor"/>
    </font>
    <font>
      <b/>
      <sz val="16"/>
      <name val="Calibri"/>
      <family val="2"/>
      <scheme val="minor"/>
    </font>
    <font>
      <b/>
      <sz val="16"/>
      <color theme="1"/>
      <name val="Calibri"/>
      <family val="2"/>
      <scheme val="minor"/>
    </font>
    <font>
      <b/>
      <sz val="14"/>
      <name val="Calibri"/>
      <family val="2"/>
      <scheme val="minor"/>
    </font>
    <font>
      <b/>
      <sz val="10"/>
      <name val="Helv"/>
    </font>
    <font>
      <u/>
      <sz val="10"/>
      <color theme="10"/>
      <name val="Helv"/>
    </font>
    <font>
      <b/>
      <sz val="11"/>
      <name val="Calibri"/>
      <family val="2"/>
      <scheme val="minor"/>
    </font>
    <font>
      <sz val="10"/>
      <name val="Calibri"/>
      <family val="2"/>
      <scheme val="minor"/>
    </font>
    <font>
      <b/>
      <sz val="10"/>
      <name val="Calibri"/>
      <family val="2"/>
      <scheme val="minor"/>
    </font>
    <font>
      <u/>
      <sz val="11"/>
      <color theme="10"/>
      <name val="Calibri"/>
      <family val="2"/>
      <scheme val="minor"/>
    </font>
    <font>
      <b/>
      <sz val="12"/>
      <color rgb="FFFF0000"/>
      <name val="Calibri"/>
      <family val="2"/>
      <scheme val="minor"/>
    </font>
    <font>
      <sz val="11"/>
      <name val="Calibri"/>
      <family val="2"/>
    </font>
    <font>
      <sz val="10"/>
      <color theme="1"/>
      <name val="Calibri"/>
      <family val="2"/>
      <scheme val="minor"/>
    </font>
    <font>
      <sz val="10"/>
      <name val="Calibri"/>
      <family val="2"/>
    </font>
    <font>
      <b/>
      <sz val="12"/>
      <color rgb="FF424242"/>
      <name val="Calibri"/>
      <family val="2"/>
      <scheme val="minor"/>
    </font>
    <font>
      <b/>
      <sz val="12"/>
      <color rgb="FF202124"/>
      <name val="Calibri"/>
      <family val="2"/>
      <scheme val="minor"/>
    </font>
    <font>
      <sz val="12"/>
      <color rgb="FF000000"/>
      <name val="Arial"/>
      <family val="2"/>
    </font>
  </fonts>
  <fills count="16">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6"/>
        <bgColor indexed="64"/>
      </patternFill>
    </fill>
    <fill>
      <patternFill patternType="solid">
        <fgColor theme="6" tint="-0.249977111117893"/>
        <bgColor indexed="64"/>
      </patternFill>
    </fill>
    <fill>
      <patternFill patternType="solid">
        <fgColor rgb="FF9BBB59"/>
        <bgColor indexed="64"/>
      </patternFill>
    </fill>
    <fill>
      <patternFill patternType="solid">
        <fgColor theme="9" tint="0.39997558519241921"/>
        <bgColor indexed="64"/>
      </patternFill>
    </fill>
  </fills>
  <borders count="30">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thin">
        <color indexed="64"/>
      </bottom>
      <diagonal/>
    </border>
    <border>
      <left style="thin">
        <color indexed="64"/>
      </left>
      <right/>
      <top/>
      <bottom style="thin">
        <color indexed="8"/>
      </bottom>
      <diagonal/>
    </border>
    <border>
      <left style="thin">
        <color indexed="64"/>
      </left>
      <right/>
      <top style="thin">
        <color indexed="64"/>
      </top>
      <bottom/>
      <diagonal/>
    </border>
    <border>
      <left style="thin">
        <color indexed="8"/>
      </left>
      <right style="thin">
        <color indexed="64"/>
      </right>
      <top style="thin">
        <color indexed="8"/>
      </top>
      <bottom style="thin">
        <color indexed="8"/>
      </bottom>
      <diagonal/>
    </border>
    <border>
      <left/>
      <right/>
      <top style="thin">
        <color indexed="8"/>
      </top>
      <bottom/>
      <diagonal/>
    </border>
    <border>
      <left style="thin">
        <color indexed="64"/>
      </left>
      <right/>
      <top style="thin">
        <color indexed="8"/>
      </top>
      <bottom/>
      <diagonal/>
    </border>
    <border>
      <left style="thin">
        <color indexed="64"/>
      </left>
      <right style="thin">
        <color indexed="64"/>
      </right>
      <top style="thin">
        <color indexed="8"/>
      </top>
      <bottom style="thin">
        <color indexed="64"/>
      </bottom>
      <diagonal/>
    </border>
  </borders>
  <cellStyleXfs count="10">
    <xf numFmtId="164" fontId="0" fillId="0" borderId="0"/>
    <xf numFmtId="9" fontId="9"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0" fontId="2" fillId="0" borderId="0"/>
    <xf numFmtId="44" fontId="2" fillId="0" borderId="0" applyFont="0" applyFill="0" applyBorder="0" applyAlignment="0" applyProtection="0"/>
    <xf numFmtId="164" fontId="22" fillId="0" borderId="0" applyNumberFormat="0" applyFill="0" applyBorder="0" applyAlignment="0" applyProtection="0"/>
  </cellStyleXfs>
  <cellXfs count="214">
    <xf numFmtId="164" fontId="0" fillId="0" borderId="0" xfId="0"/>
    <xf numFmtId="164" fontId="7" fillId="0" borderId="0" xfId="0" applyFont="1" applyAlignment="1">
      <alignment horizontal="left"/>
    </xf>
    <xf numFmtId="164" fontId="7" fillId="0" borderId="0" xfId="0" applyFont="1"/>
    <xf numFmtId="164" fontId="8" fillId="0" borderId="0" xfId="0" applyFont="1"/>
    <xf numFmtId="14" fontId="7" fillId="0" borderId="0" xfId="0" applyNumberFormat="1" applyFont="1"/>
    <xf numFmtId="164" fontId="8" fillId="0" borderId="0" xfId="0" applyFont="1" applyAlignment="1">
      <alignment horizontal="left"/>
    </xf>
    <xf numFmtId="164" fontId="7" fillId="0" borderId="6" xfId="0" applyFont="1" applyBorder="1"/>
    <xf numFmtId="164" fontId="7" fillId="0" borderId="6" xfId="0" applyFont="1" applyBorder="1" applyAlignment="1">
      <alignment horizontal="left" vertical="center"/>
    </xf>
    <xf numFmtId="166" fontId="7" fillId="0" borderId="2" xfId="5" applyNumberFormat="1" applyFont="1" applyBorder="1" applyProtection="1"/>
    <xf numFmtId="166" fontId="7" fillId="0" borderId="1" xfId="5" applyNumberFormat="1" applyFont="1" applyBorder="1" applyProtection="1"/>
    <xf numFmtId="164" fontId="8" fillId="0" borderId="6" xfId="0" applyFont="1" applyBorder="1" applyAlignment="1">
      <alignment horizontal="left" vertical="center"/>
    </xf>
    <xf numFmtId="164" fontId="7" fillId="0" borderId="8" xfId="0" applyFont="1" applyBorder="1"/>
    <xf numFmtId="14" fontId="7" fillId="0" borderId="8" xfId="0" applyNumberFormat="1" applyFont="1" applyBorder="1"/>
    <xf numFmtId="164" fontId="8" fillId="0" borderId="0" xfId="0" applyFont="1" applyAlignment="1">
      <alignment horizontal="right"/>
    </xf>
    <xf numFmtId="164" fontId="20" fillId="0" borderId="0" xfId="0" applyFont="1"/>
    <xf numFmtId="164" fontId="23" fillId="0" borderId="0" xfId="0" applyFont="1" applyAlignment="1">
      <alignment horizontal="left" vertical="center" indent="5"/>
    </xf>
    <xf numFmtId="164" fontId="24" fillId="0" borderId="0" xfId="0" applyFont="1"/>
    <xf numFmtId="164" fontId="25" fillId="0" borderId="0" xfId="0" applyFont="1"/>
    <xf numFmtId="0" fontId="1" fillId="0" borderId="6" xfId="2" applyFont="1" applyBorder="1" applyAlignment="1">
      <alignment horizontal="left"/>
    </xf>
    <xf numFmtId="166" fontId="8" fillId="0" borderId="0" xfId="5" applyNumberFormat="1" applyFont="1" applyBorder="1" applyProtection="1"/>
    <xf numFmtId="166" fontId="7" fillId="0" borderId="0" xfId="5" applyNumberFormat="1" applyFont="1" applyBorder="1" applyProtection="1"/>
    <xf numFmtId="166" fontId="7" fillId="0" borderId="6" xfId="5" applyNumberFormat="1" applyFont="1" applyBorder="1" applyProtection="1"/>
    <xf numFmtId="166" fontId="8" fillId="9" borderId="6" xfId="5" applyNumberFormat="1" applyFont="1" applyFill="1" applyBorder="1" applyProtection="1"/>
    <xf numFmtId="9" fontId="7" fillId="0" borderId="6" xfId="0" applyNumberFormat="1" applyFont="1" applyBorder="1"/>
    <xf numFmtId="164" fontId="28" fillId="0" borderId="0" xfId="0" applyFont="1" applyAlignment="1">
      <alignment vertical="center"/>
    </xf>
    <xf numFmtId="164" fontId="7" fillId="0" borderId="20" xfId="0" applyFont="1" applyBorder="1" applyAlignment="1">
      <alignment horizontal="left" vertical="center"/>
    </xf>
    <xf numFmtId="164" fontId="7" fillId="0" borderId="22" xfId="0" applyFont="1" applyBorder="1" applyAlignment="1">
      <alignment horizontal="left" vertical="center"/>
    </xf>
    <xf numFmtId="166" fontId="8" fillId="0" borderId="11" xfId="5" applyNumberFormat="1" applyFont="1" applyBorder="1" applyProtection="1"/>
    <xf numFmtId="166" fontId="8" fillId="0" borderId="9" xfId="5" applyNumberFormat="1" applyFont="1" applyBorder="1" applyProtection="1"/>
    <xf numFmtId="166" fontId="8" fillId="0" borderId="5" xfId="5" applyNumberFormat="1" applyFont="1" applyBorder="1" applyProtection="1"/>
    <xf numFmtId="166" fontId="8" fillId="0" borderId="11" xfId="5" applyNumberFormat="1" applyFont="1" applyFill="1" applyBorder="1" applyProtection="1"/>
    <xf numFmtId="166" fontId="8" fillId="0" borderId="25" xfId="5" applyNumberFormat="1" applyFont="1" applyBorder="1" applyProtection="1"/>
    <xf numFmtId="166" fontId="7" fillId="0" borderId="5" xfId="5" applyNumberFormat="1" applyFont="1" applyBorder="1" applyProtection="1"/>
    <xf numFmtId="166" fontId="7" fillId="0" borderId="1" xfId="5" applyNumberFormat="1" applyFont="1" applyFill="1" applyBorder="1" applyProtection="1"/>
    <xf numFmtId="166" fontId="7" fillId="0" borderId="6" xfId="5" applyNumberFormat="1" applyFont="1" applyFill="1" applyBorder="1" applyProtection="1"/>
    <xf numFmtId="166" fontId="7" fillId="0" borderId="14" xfId="5" applyNumberFormat="1" applyFont="1" applyBorder="1" applyProtection="1"/>
    <xf numFmtId="166" fontId="11" fillId="0" borderId="1" xfId="5" applyNumberFormat="1" applyFont="1" applyBorder="1" applyProtection="1"/>
    <xf numFmtId="166" fontId="27" fillId="0" borderId="11" xfId="5" applyNumberFormat="1" applyFont="1" applyBorder="1" applyProtection="1"/>
    <xf numFmtId="166" fontId="7" fillId="0" borderId="13" xfId="5" applyNumberFormat="1" applyFont="1" applyFill="1" applyBorder="1" applyProtection="1"/>
    <xf numFmtId="166" fontId="7" fillId="0" borderId="4" xfId="5" applyNumberFormat="1" applyFont="1" applyBorder="1" applyProtection="1"/>
    <xf numFmtId="168" fontId="8" fillId="0" borderId="6" xfId="6" applyNumberFormat="1" applyFont="1" applyBorder="1" applyProtection="1"/>
    <xf numFmtId="168" fontId="7" fillId="0" borderId="6" xfId="6" applyNumberFormat="1" applyFont="1" applyFill="1" applyBorder="1" applyAlignment="1" applyProtection="1">
      <alignment horizontal="center" vertical="center"/>
    </xf>
    <xf numFmtId="166" fontId="10" fillId="0" borderId="11" xfId="5" applyNumberFormat="1" applyFont="1" applyBorder="1" applyProtection="1"/>
    <xf numFmtId="164" fontId="8" fillId="0" borderId="23" xfId="0" applyFont="1" applyBorder="1" applyAlignment="1">
      <alignment horizontal="left" vertical="center"/>
    </xf>
    <xf numFmtId="166" fontId="8" fillId="0" borderId="2" xfId="5" applyNumberFormat="1" applyFont="1" applyBorder="1" applyProtection="1"/>
    <xf numFmtId="9" fontId="8" fillId="0" borderId="6" xfId="0" applyNumberFormat="1" applyFont="1" applyBorder="1"/>
    <xf numFmtId="166" fontId="8" fillId="0" borderId="10" xfId="5" applyNumberFormat="1" applyFont="1" applyBorder="1" applyProtection="1"/>
    <xf numFmtId="166" fontId="8" fillId="0" borderId="1" xfId="5" applyNumberFormat="1" applyFont="1" applyBorder="1" applyProtection="1"/>
    <xf numFmtId="166" fontId="8" fillId="0" borderId="6" xfId="5" applyNumberFormat="1" applyFont="1" applyBorder="1" applyProtection="1"/>
    <xf numFmtId="166" fontId="8" fillId="0" borderId="13" xfId="5" applyNumberFormat="1" applyFont="1" applyBorder="1" applyProtection="1"/>
    <xf numFmtId="166" fontId="8" fillId="0" borderId="15" xfId="5" applyNumberFormat="1" applyFont="1" applyBorder="1" applyProtection="1"/>
    <xf numFmtId="166" fontId="8" fillId="0" borderId="6" xfId="5" applyNumberFormat="1" applyFont="1" applyFill="1" applyBorder="1" applyProtection="1"/>
    <xf numFmtId="9" fontId="7" fillId="0" borderId="6" xfId="1" applyFont="1" applyBorder="1" applyAlignment="1" applyProtection="1">
      <alignment horizontal="center" vertical="center"/>
    </xf>
    <xf numFmtId="166" fontId="7" fillId="12" borderId="6" xfId="5" applyNumberFormat="1" applyFont="1" applyFill="1" applyBorder="1" applyAlignment="1" applyProtection="1">
      <alignment horizontal="center"/>
    </xf>
    <xf numFmtId="166" fontId="7" fillId="14" borderId="6" xfId="3" applyNumberFormat="1" applyFont="1" applyFill="1" applyBorder="1" applyProtection="1"/>
    <xf numFmtId="164" fontId="31" fillId="0" borderId="0" xfId="0" applyFont="1"/>
    <xf numFmtId="165" fontId="7" fillId="0" borderId="6" xfId="5" applyNumberFormat="1" applyFont="1" applyBorder="1" applyAlignment="1" applyProtection="1">
      <alignment horizontal="center"/>
    </xf>
    <xf numFmtId="166" fontId="7" fillId="7" borderId="6" xfId="3" applyNumberFormat="1" applyFont="1" applyFill="1" applyBorder="1" applyProtection="1"/>
    <xf numFmtId="166" fontId="7" fillId="2" borderId="6" xfId="3" applyNumberFormat="1" applyFont="1" applyFill="1" applyBorder="1" applyProtection="1"/>
    <xf numFmtId="166" fontId="7" fillId="8" borderId="6" xfId="3" applyNumberFormat="1" applyFont="1" applyFill="1" applyBorder="1" applyProtection="1"/>
    <xf numFmtId="166" fontId="7" fillId="11" borderId="6" xfId="3" applyNumberFormat="1" applyFont="1" applyFill="1" applyBorder="1" applyProtection="1"/>
    <xf numFmtId="166" fontId="7" fillId="3" borderId="6" xfId="3" applyNumberFormat="1" applyFont="1" applyFill="1" applyBorder="1" applyProtection="1"/>
    <xf numFmtId="166" fontId="7" fillId="4" borderId="6" xfId="3" applyNumberFormat="1" applyFont="1" applyFill="1" applyBorder="1" applyProtection="1"/>
    <xf numFmtId="166" fontId="10" fillId="0" borderId="6" xfId="3" applyNumberFormat="1" applyFont="1" applyBorder="1" applyProtection="1"/>
    <xf numFmtId="166" fontId="10" fillId="0" borderId="6" xfId="3" applyNumberFormat="1" applyFont="1" applyFill="1" applyBorder="1" applyProtection="1"/>
    <xf numFmtId="166" fontId="7" fillId="0" borderId="0" xfId="3" applyNumberFormat="1" applyFont="1" applyProtection="1"/>
    <xf numFmtId="166" fontId="8" fillId="5" borderId="6" xfId="3" applyNumberFormat="1" applyFont="1" applyFill="1" applyBorder="1" applyProtection="1"/>
    <xf numFmtId="166" fontId="8" fillId="4" borderId="6" xfId="3" applyNumberFormat="1" applyFont="1" applyFill="1" applyBorder="1" applyProtection="1"/>
    <xf numFmtId="164" fontId="8" fillId="0" borderId="0" xfId="0" applyFont="1" applyAlignment="1">
      <alignment horizontal="left" indent="2"/>
    </xf>
    <xf numFmtId="1" fontId="7" fillId="6" borderId="6" xfId="1" applyNumberFormat="1" applyFont="1" applyFill="1" applyBorder="1" applyProtection="1">
      <protection locked="0"/>
    </xf>
    <xf numFmtId="166" fontId="7" fillId="6" borderId="6" xfId="5" applyNumberFormat="1" applyFont="1" applyFill="1" applyBorder="1" applyAlignment="1" applyProtection="1">
      <alignment horizontal="right"/>
      <protection locked="0"/>
    </xf>
    <xf numFmtId="9" fontId="7" fillId="6" borderId="6" xfId="1" applyFont="1" applyFill="1" applyBorder="1" applyAlignment="1" applyProtection="1">
      <alignment horizontal="right"/>
      <protection locked="0"/>
    </xf>
    <xf numFmtId="164" fontId="7" fillId="6" borderId="6" xfId="0" applyFont="1" applyFill="1" applyBorder="1" applyAlignment="1" applyProtection="1">
      <alignment horizontal="right"/>
      <protection locked="0"/>
    </xf>
    <xf numFmtId="167" fontId="11" fillId="6" borderId="6" xfId="1" applyNumberFormat="1" applyFont="1" applyFill="1" applyBorder="1" applyAlignment="1" applyProtection="1">
      <alignment horizontal="right"/>
      <protection locked="0"/>
    </xf>
    <xf numFmtId="9" fontId="7" fillId="6" borderId="6" xfId="1" applyFont="1" applyFill="1" applyBorder="1" applyProtection="1">
      <protection locked="0"/>
    </xf>
    <xf numFmtId="166" fontId="7" fillId="6" borderId="6" xfId="3" applyNumberFormat="1" applyFont="1" applyFill="1" applyBorder="1" applyProtection="1">
      <protection locked="0"/>
    </xf>
    <xf numFmtId="166" fontId="7" fillId="6" borderId="6" xfId="5" applyNumberFormat="1" applyFont="1" applyFill="1" applyBorder="1" applyProtection="1">
      <protection locked="0"/>
    </xf>
    <xf numFmtId="167" fontId="7" fillId="6" borderId="6" xfId="1" applyNumberFormat="1" applyFont="1" applyFill="1" applyBorder="1" applyProtection="1">
      <protection locked="0"/>
    </xf>
    <xf numFmtId="0" fontId="7" fillId="6" borderId="6" xfId="5" applyNumberFormat="1" applyFont="1" applyFill="1" applyBorder="1" applyProtection="1">
      <protection locked="0"/>
    </xf>
    <xf numFmtId="44" fontId="7" fillId="6" borderId="6" xfId="5" applyFont="1" applyFill="1" applyBorder="1" applyProtection="1">
      <protection locked="0"/>
    </xf>
    <xf numFmtId="164" fontId="7" fillId="0" borderId="6" xfId="0" applyFont="1" applyBorder="1" applyAlignment="1">
      <alignment horizontal="center"/>
    </xf>
    <xf numFmtId="168" fontId="7" fillId="0" borderId="6" xfId="6" applyNumberFormat="1" applyFont="1" applyBorder="1" applyAlignment="1" applyProtection="1">
      <alignment vertical="center"/>
    </xf>
    <xf numFmtId="166" fontId="7" fillId="0" borderId="6" xfId="5" applyNumberFormat="1" applyFont="1" applyBorder="1" applyAlignment="1" applyProtection="1">
      <alignment vertical="center"/>
    </xf>
    <xf numFmtId="166" fontId="11" fillId="0" borderId="6" xfId="5" applyNumberFormat="1" applyFont="1" applyBorder="1" applyAlignment="1" applyProtection="1">
      <alignment vertical="center"/>
    </xf>
    <xf numFmtId="166" fontId="7" fillId="0" borderId="6" xfId="5" applyNumberFormat="1" applyFont="1" applyFill="1" applyBorder="1" applyAlignment="1" applyProtection="1">
      <alignment vertical="center"/>
    </xf>
    <xf numFmtId="166" fontId="8" fillId="0" borderId="6" xfId="5" applyNumberFormat="1" applyFont="1" applyBorder="1" applyAlignment="1" applyProtection="1">
      <alignment vertical="center"/>
    </xf>
    <xf numFmtId="166" fontId="8" fillId="0" borderId="6" xfId="5" applyNumberFormat="1" applyFont="1" applyFill="1" applyBorder="1" applyAlignment="1" applyProtection="1">
      <alignment vertical="center"/>
    </xf>
    <xf numFmtId="164" fontId="18" fillId="0" borderId="0" xfId="0" applyFont="1"/>
    <xf numFmtId="164" fontId="12" fillId="0" borderId="0" xfId="0" applyFont="1"/>
    <xf numFmtId="164" fontId="13" fillId="0" borderId="0" xfId="0" applyFont="1"/>
    <xf numFmtId="164" fontId="20" fillId="6" borderId="0" xfId="0" applyFont="1" applyFill="1" applyAlignment="1">
      <alignment horizontal="left"/>
    </xf>
    <xf numFmtId="164" fontId="8" fillId="6" borderId="0" xfId="0" applyFont="1" applyFill="1"/>
    <xf numFmtId="164" fontId="7" fillId="6" borderId="0" xfId="0" applyFont="1" applyFill="1"/>
    <xf numFmtId="2" fontId="8" fillId="0" borderId="0" xfId="0" applyNumberFormat="1" applyFont="1"/>
    <xf numFmtId="164" fontId="7" fillId="0" borderId="0" xfId="0" applyFont="1" applyAlignment="1">
      <alignment horizontal="left" indent="1"/>
    </xf>
    <xf numFmtId="164" fontId="8" fillId="0" borderId="20" xfId="0" applyFont="1" applyBorder="1" applyAlignment="1">
      <alignment horizontal="left" vertical="center"/>
    </xf>
    <xf numFmtId="164" fontId="8" fillId="0" borderId="1" xfId="0" applyFont="1" applyBorder="1" applyAlignment="1">
      <alignment horizontal="center" vertical="center"/>
    </xf>
    <xf numFmtId="164" fontId="8" fillId="0" borderId="26" xfId="0" applyFont="1" applyBorder="1" applyAlignment="1">
      <alignment horizontal="center" vertical="center"/>
    </xf>
    <xf numFmtId="164" fontId="8" fillId="0" borderId="11" xfId="0" applyFont="1" applyBorder="1" applyAlignment="1">
      <alignment horizontal="center" vertical="center"/>
    </xf>
    <xf numFmtId="164" fontId="8" fillId="0" borderId="6" xfId="0" applyFont="1" applyBorder="1" applyAlignment="1">
      <alignment horizontal="center" vertical="center"/>
    </xf>
    <xf numFmtId="164" fontId="7" fillId="0" borderId="6" xfId="0" applyFont="1" applyBorder="1" applyAlignment="1">
      <alignment horizontal="left"/>
    </xf>
    <xf numFmtId="164" fontId="24" fillId="0" borderId="0" xfId="0" applyFont="1" applyAlignment="1">
      <alignment horizontal="left"/>
    </xf>
    <xf numFmtId="164" fontId="8" fillId="0" borderId="28" xfId="0" applyFont="1" applyBorder="1" applyAlignment="1">
      <alignment horizontal="left" vertical="center"/>
    </xf>
    <xf numFmtId="164" fontId="8" fillId="0" borderId="27" xfId="0" applyFont="1" applyBorder="1" applyAlignment="1">
      <alignment horizontal="center" vertical="center"/>
    </xf>
    <xf numFmtId="164" fontId="8" fillId="0" borderId="16" xfId="0" applyFont="1" applyBorder="1" applyAlignment="1">
      <alignment horizontal="center" vertical="center"/>
    </xf>
    <xf numFmtId="164" fontId="8" fillId="0" borderId="19" xfId="0" applyFont="1" applyBorder="1" applyAlignment="1">
      <alignment horizontal="left" vertical="center"/>
    </xf>
    <xf numFmtId="164" fontId="8" fillId="0" borderId="3" xfId="0" applyFont="1" applyBorder="1" applyAlignment="1">
      <alignment horizontal="center" vertical="center"/>
    </xf>
    <xf numFmtId="164" fontId="7" fillId="0" borderId="29" xfId="0" applyFont="1" applyBorder="1" applyAlignment="1">
      <alignment horizontal="left" vertical="center"/>
    </xf>
    <xf numFmtId="164" fontId="7" fillId="0" borderId="18" xfId="0" applyFont="1" applyBorder="1" applyAlignment="1">
      <alignment horizontal="left" vertical="center"/>
    </xf>
    <xf numFmtId="164" fontId="0" fillId="0" borderId="0" xfId="0" applyAlignment="1">
      <alignment horizontal="left"/>
    </xf>
    <xf numFmtId="164" fontId="0" fillId="0" borderId="6" xfId="0" applyBorder="1"/>
    <xf numFmtId="164" fontId="7" fillId="0" borderId="18" xfId="0" applyFont="1" applyBorder="1" applyAlignment="1">
      <alignment horizontal="left"/>
    </xf>
    <xf numFmtId="164" fontId="11" fillId="0" borderId="20" xfId="0" applyFont="1" applyBorder="1" applyAlignment="1">
      <alignment horizontal="left" vertical="center"/>
    </xf>
    <xf numFmtId="164" fontId="11" fillId="0" borderId="6" xfId="0" applyFont="1" applyBorder="1" applyAlignment="1">
      <alignment horizontal="left"/>
    </xf>
    <xf numFmtId="164" fontId="8" fillId="0" borderId="11" xfId="0" applyFont="1" applyBorder="1" applyAlignment="1">
      <alignment horizontal="left" vertical="center"/>
    </xf>
    <xf numFmtId="164" fontId="7" fillId="0" borderId="3" xfId="0" applyFont="1" applyBorder="1"/>
    <xf numFmtId="5" fontId="7" fillId="0" borderId="3" xfId="0" applyNumberFormat="1" applyFont="1" applyBorder="1"/>
    <xf numFmtId="164" fontId="8" fillId="0" borderId="0" xfId="0" applyFont="1" applyAlignment="1">
      <alignment horizontal="left" vertical="center"/>
    </xf>
    <xf numFmtId="164" fontId="7" fillId="0" borderId="21" xfId="0" applyFont="1" applyBorder="1" applyAlignment="1">
      <alignment horizontal="left" vertical="center"/>
    </xf>
    <xf numFmtId="0" fontId="1" fillId="7" borderId="6" xfId="2" applyFont="1" applyFill="1" applyBorder="1" applyAlignment="1">
      <alignment horizontal="left"/>
    </xf>
    <xf numFmtId="0" fontId="1" fillId="2" borderId="6" xfId="2" applyFont="1" applyFill="1" applyBorder="1"/>
    <xf numFmtId="0" fontId="1" fillId="8" borderId="6" xfId="2" applyFont="1" applyFill="1" applyBorder="1"/>
    <xf numFmtId="0" fontId="1" fillId="11" borderId="6" xfId="2" applyFont="1" applyFill="1" applyBorder="1"/>
    <xf numFmtId="0" fontId="1" fillId="9" borderId="6" xfId="2" applyFont="1" applyFill="1" applyBorder="1"/>
    <xf numFmtId="0" fontId="1" fillId="10" borderId="6" xfId="2" applyFont="1" applyFill="1" applyBorder="1"/>
    <xf numFmtId="5" fontId="8" fillId="0" borderId="16" xfId="0" applyNumberFormat="1" applyFont="1" applyBorder="1"/>
    <xf numFmtId="166" fontId="7" fillId="0" borderId="6" xfId="3" applyNumberFormat="1" applyFont="1" applyFill="1" applyBorder="1" applyProtection="1"/>
    <xf numFmtId="164" fontId="8" fillId="0" borderId="0" xfId="0" applyFont="1" applyAlignment="1">
      <alignment horizontal="center"/>
    </xf>
    <xf numFmtId="164" fontId="7" fillId="0" borderId="0" xfId="0" applyFont="1" applyAlignment="1">
      <alignment horizontal="center"/>
    </xf>
    <xf numFmtId="164" fontId="8" fillId="0" borderId="8" xfId="0" applyFont="1" applyBorder="1" applyAlignment="1">
      <alignment horizontal="left" vertical="center"/>
    </xf>
    <xf numFmtId="164" fontId="7" fillId="0" borderId="7" xfId="0" applyFont="1" applyBorder="1"/>
    <xf numFmtId="166" fontId="7" fillId="0" borderId="13" xfId="0" applyNumberFormat="1" applyFont="1" applyBorder="1"/>
    <xf numFmtId="166" fontId="7" fillId="0" borderId="15" xfId="0" applyNumberFormat="1" applyFont="1" applyBorder="1"/>
    <xf numFmtId="166" fontId="8" fillId="0" borderId="11" xfId="0" applyNumberFormat="1" applyFont="1" applyBorder="1"/>
    <xf numFmtId="164" fontId="8" fillId="0" borderId="22" xfId="0" applyFont="1" applyBorder="1" applyAlignment="1">
      <alignment horizontal="left" vertical="center"/>
    </xf>
    <xf numFmtId="164" fontId="24" fillId="0" borderId="0" xfId="0" applyFont="1" applyAlignment="1">
      <alignment horizontal="left" indent="1"/>
    </xf>
    <xf numFmtId="164" fontId="8" fillId="0" borderId="18" xfId="0" applyFont="1" applyBorder="1" applyAlignment="1">
      <alignment horizontal="left" vertical="center"/>
    </xf>
    <xf numFmtId="164" fontId="8" fillId="0" borderId="24" xfId="0" applyFont="1" applyBorder="1" applyAlignment="1">
      <alignment horizontal="left" vertical="center"/>
    </xf>
    <xf numFmtId="164" fontId="8" fillId="9" borderId="6" xfId="0" applyFont="1" applyFill="1" applyBorder="1" applyAlignment="1">
      <alignment horizontal="left" vertical="center"/>
    </xf>
    <xf numFmtId="164" fontId="8" fillId="9" borderId="23" xfId="0" applyFont="1" applyFill="1" applyBorder="1" applyAlignment="1">
      <alignment horizontal="left" vertical="center"/>
    </xf>
    <xf numFmtId="164" fontId="8" fillId="9" borderId="20" xfId="0" applyFont="1" applyFill="1" applyBorder="1" applyAlignment="1">
      <alignment horizontal="left" vertical="center"/>
    </xf>
    <xf numFmtId="9" fontId="7" fillId="0" borderId="0" xfId="0" applyNumberFormat="1" applyFont="1"/>
    <xf numFmtId="164" fontId="7" fillId="0" borderId="0" xfId="0" applyFont="1" applyAlignment="1">
      <alignment horizontal="right"/>
    </xf>
    <xf numFmtId="164" fontId="7" fillId="0" borderId="0" xfId="0" applyFont="1" applyAlignment="1">
      <alignment horizontal="left" indent="2"/>
    </xf>
    <xf numFmtId="0" fontId="29" fillId="0" borderId="0" xfId="7" applyFont="1"/>
    <xf numFmtId="164" fontId="7" fillId="0" borderId="0" xfId="0" applyFont="1" applyAlignment="1">
      <alignment horizontal="center" wrapText="1"/>
    </xf>
    <xf numFmtId="164" fontId="30" fillId="0" borderId="0" xfId="0" applyFont="1"/>
    <xf numFmtId="164" fontId="30" fillId="0" borderId="0" xfId="0" applyFont="1" applyAlignment="1">
      <alignment vertical="center"/>
    </xf>
    <xf numFmtId="164" fontId="7" fillId="0" borderId="1" xfId="0" applyFont="1" applyBorder="1" applyAlignment="1">
      <alignment horizontal="left" vertical="center"/>
    </xf>
    <xf numFmtId="6" fontId="7" fillId="0" borderId="0" xfId="0" applyNumberFormat="1" applyFont="1"/>
    <xf numFmtId="9" fontId="24" fillId="0" borderId="0" xfId="1" applyFont="1" applyAlignment="1" applyProtection="1">
      <alignment horizontal="center"/>
    </xf>
    <xf numFmtId="164" fontId="8" fillId="0" borderId="0" xfId="0" applyFont="1" applyAlignment="1">
      <alignment horizontal="left" indent="1"/>
    </xf>
    <xf numFmtId="44" fontId="8" fillId="13" borderId="6" xfId="5" applyFont="1" applyFill="1" applyBorder="1" applyProtection="1"/>
    <xf numFmtId="0" fontId="4" fillId="0" borderId="0" xfId="2" applyFont="1"/>
    <xf numFmtId="0" fontId="19" fillId="0" borderId="0" xfId="2" applyFont="1" applyAlignment="1">
      <alignment horizontal="left"/>
    </xf>
    <xf numFmtId="0" fontId="17" fillId="0" borderId="0" xfId="2" applyFont="1" applyAlignment="1">
      <alignment horizontal="left"/>
    </xf>
    <xf numFmtId="0" fontId="14" fillId="0" borderId="0" xfId="2" applyFont="1"/>
    <xf numFmtId="0" fontId="15" fillId="0" borderId="0" xfId="2" applyFont="1"/>
    <xf numFmtId="0" fontId="4" fillId="0" borderId="6" xfId="2" applyFont="1" applyBorder="1" applyAlignment="1">
      <alignment horizontal="left"/>
    </xf>
    <xf numFmtId="164" fontId="7" fillId="0" borderId="6" xfId="0" applyFont="1" applyBorder="1" applyAlignment="1">
      <alignment horizontal="center" wrapText="1"/>
    </xf>
    <xf numFmtId="164" fontId="7" fillId="0" borderId="12" xfId="0" applyFont="1" applyBorder="1" applyAlignment="1">
      <alignment horizontal="center" wrapText="1"/>
    </xf>
    <xf numFmtId="164" fontId="7" fillId="0" borderId="12" xfId="0" applyFont="1" applyBorder="1" applyAlignment="1">
      <alignment horizontal="center"/>
    </xf>
    <xf numFmtId="0" fontId="4" fillId="0" borderId="6" xfId="2" applyFont="1" applyBorder="1"/>
    <xf numFmtId="0" fontId="10" fillId="0" borderId="6" xfId="2" applyFont="1" applyBorder="1" applyAlignment="1">
      <alignment horizontal="right"/>
    </xf>
    <xf numFmtId="164" fontId="8" fillId="9" borderId="0" xfId="0" applyFont="1" applyFill="1"/>
    <xf numFmtId="2" fontId="8" fillId="9" borderId="6" xfId="0" applyNumberFormat="1" applyFont="1" applyFill="1" applyBorder="1" applyAlignment="1">
      <alignment horizontal="center"/>
    </xf>
    <xf numFmtId="9" fontId="4" fillId="0" borderId="0" xfId="2" applyNumberFormat="1" applyFont="1"/>
    <xf numFmtId="0" fontId="4" fillId="0" borderId="0" xfId="2" applyFont="1" applyAlignment="1">
      <alignment horizontal="left"/>
    </xf>
    <xf numFmtId="9" fontId="7" fillId="0" borderId="0" xfId="4" applyFont="1" applyFill="1" applyAlignment="1" applyProtection="1">
      <alignment horizontal="center"/>
    </xf>
    <xf numFmtId="0" fontId="10" fillId="0" borderId="6" xfId="2" applyFont="1" applyBorder="1" applyAlignment="1">
      <alignment horizontal="left"/>
    </xf>
    <xf numFmtId="0" fontId="10" fillId="0" borderId="6" xfId="2" applyFont="1" applyBorder="1"/>
    <xf numFmtId="0" fontId="3" fillId="0" borderId="17" xfId="2" applyFont="1" applyBorder="1" applyAlignment="1">
      <alignment horizontal="left"/>
    </xf>
    <xf numFmtId="0" fontId="16" fillId="0" borderId="6" xfId="2" applyFont="1" applyBorder="1" applyAlignment="1">
      <alignment horizontal="left"/>
    </xf>
    <xf numFmtId="2" fontId="10" fillId="0" borderId="6" xfId="2" applyNumberFormat="1" applyFont="1" applyBorder="1"/>
    <xf numFmtId="0" fontId="16" fillId="0" borderId="0" xfId="2" applyFont="1" applyAlignment="1">
      <alignment horizontal="left"/>
    </xf>
    <xf numFmtId="2" fontId="10" fillId="0" borderId="0" xfId="2" applyNumberFormat="1" applyFont="1"/>
    <xf numFmtId="164" fontId="24" fillId="0" borderId="0" xfId="0" applyFont="1" applyProtection="1">
      <protection locked="0"/>
    </xf>
    <xf numFmtId="164" fontId="8" fillId="2" borderId="6" xfId="0" applyFont="1" applyFill="1" applyBorder="1" applyAlignment="1">
      <alignment horizontal="center"/>
    </xf>
    <xf numFmtId="164" fontId="8" fillId="0" borderId="6" xfId="0" applyFont="1" applyBorder="1"/>
    <xf numFmtId="164" fontId="8" fillId="0" borderId="7" xfId="0" applyFont="1" applyBorder="1" applyAlignment="1">
      <alignment horizontal="center"/>
    </xf>
    <xf numFmtId="164" fontId="7" fillId="0" borderId="7" xfId="0" applyFont="1" applyBorder="1" applyAlignment="1">
      <alignment horizontal="center"/>
    </xf>
    <xf numFmtId="164" fontId="7" fillId="0" borderId="7" xfId="0" applyFont="1" applyBorder="1" applyAlignment="1">
      <alignment horizontal="center" vertical="center"/>
    </xf>
    <xf numFmtId="9" fontId="7" fillId="0" borderId="7" xfId="0" applyNumberFormat="1" applyFont="1" applyBorder="1" applyAlignment="1">
      <alignment vertical="center"/>
    </xf>
    <xf numFmtId="166" fontId="7" fillId="0" borderId="6" xfId="0" applyNumberFormat="1" applyFont="1" applyBorder="1" applyAlignment="1">
      <alignment vertical="center"/>
    </xf>
    <xf numFmtId="166" fontId="7" fillId="0" borderId="7" xfId="0" applyNumberFormat="1" applyFont="1" applyBorder="1" applyAlignment="1">
      <alignment vertical="center"/>
    </xf>
    <xf numFmtId="9" fontId="11" fillId="0" borderId="7" xfId="0" applyNumberFormat="1" applyFont="1" applyBorder="1" applyAlignment="1">
      <alignment vertical="center"/>
    </xf>
    <xf numFmtId="166" fontId="11" fillId="0" borderId="6" xfId="0" applyNumberFormat="1" applyFont="1" applyBorder="1" applyAlignment="1">
      <alignment vertical="center"/>
    </xf>
    <xf numFmtId="166" fontId="11" fillId="0" borderId="7" xfId="0" applyNumberFormat="1" applyFont="1" applyBorder="1" applyAlignment="1">
      <alignment vertical="center"/>
    </xf>
    <xf numFmtId="9" fontId="7" fillId="0" borderId="6" xfId="0" applyNumberFormat="1" applyFont="1" applyBorder="1" applyAlignment="1">
      <alignment vertical="center"/>
    </xf>
    <xf numFmtId="166" fontId="8" fillId="0" borderId="6" xfId="0" applyNumberFormat="1" applyFont="1" applyBorder="1"/>
    <xf numFmtId="166" fontId="8" fillId="0" borderId="7" xfId="0" applyNumberFormat="1" applyFont="1" applyBorder="1"/>
    <xf numFmtId="164" fontId="8" fillId="0" borderId="5" xfId="0" applyFont="1" applyBorder="1" applyAlignment="1">
      <alignment horizontal="left" vertical="center"/>
    </xf>
    <xf numFmtId="166" fontId="7" fillId="0" borderId="6" xfId="0" applyNumberFormat="1" applyFont="1" applyBorder="1"/>
    <xf numFmtId="164" fontId="7" fillId="0" borderId="5" xfId="0" applyFont="1" applyBorder="1" applyAlignment="1">
      <alignment horizontal="left" vertical="center"/>
    </xf>
    <xf numFmtId="9" fontId="8" fillId="0" borderId="6" xfId="0" applyNumberFormat="1" applyFont="1" applyBorder="1" applyAlignment="1">
      <alignment vertical="center"/>
    </xf>
    <xf numFmtId="166" fontId="8" fillId="0" borderId="6" xfId="0" applyNumberFormat="1" applyFont="1" applyBorder="1" applyAlignment="1">
      <alignment vertical="center"/>
    </xf>
    <xf numFmtId="164" fontId="8" fillId="0" borderId="15" xfId="0" applyFont="1" applyBorder="1" applyAlignment="1">
      <alignment horizontal="left" vertical="center"/>
    </xf>
    <xf numFmtId="164" fontId="21" fillId="0" borderId="0" xfId="0" applyFont="1"/>
    <xf numFmtId="0" fontId="7" fillId="0" borderId="6" xfId="0" applyNumberFormat="1" applyFont="1" applyBorder="1" applyAlignment="1">
      <alignment vertical="center"/>
    </xf>
    <xf numFmtId="164" fontId="7" fillId="0" borderId="0" xfId="0" quotePrefix="1" applyFont="1"/>
    <xf numFmtId="164" fontId="7" fillId="0" borderId="15" xfId="0" applyFont="1" applyBorder="1" applyAlignment="1">
      <alignment horizontal="left" vertical="center"/>
    </xf>
    <xf numFmtId="166" fontId="7" fillId="0" borderId="0" xfId="0" applyNumberFormat="1" applyFont="1"/>
    <xf numFmtId="164" fontId="7" fillId="0" borderId="0" xfId="0" applyFont="1" applyAlignment="1">
      <alignment wrapText="1"/>
    </xf>
    <xf numFmtId="164" fontId="7" fillId="15" borderId="3" xfId="0" applyFont="1" applyFill="1" applyBorder="1" applyProtection="1">
      <protection locked="0"/>
    </xf>
    <xf numFmtId="164" fontId="28" fillId="15" borderId="3" xfId="0" applyFont="1" applyFill="1" applyBorder="1" applyAlignment="1" applyProtection="1">
      <alignment vertical="center"/>
      <protection locked="0"/>
    </xf>
    <xf numFmtId="164" fontId="33" fillId="15" borderId="3" xfId="0" applyFont="1" applyFill="1" applyBorder="1" applyAlignment="1" applyProtection="1">
      <alignment vertical="center"/>
      <protection locked="0"/>
    </xf>
    <xf numFmtId="164" fontId="26" fillId="15" borderId="8" xfId="9" applyFont="1" applyFill="1" applyBorder="1" applyProtection="1">
      <protection locked="0"/>
    </xf>
    <xf numFmtId="164" fontId="8" fillId="0" borderId="0" xfId="0" applyFont="1" applyAlignment="1">
      <alignment horizontal="center"/>
    </xf>
    <xf numFmtId="0" fontId="10" fillId="0" borderId="0" xfId="2" applyFont="1" applyAlignment="1">
      <alignment horizontal="center"/>
    </xf>
    <xf numFmtId="164" fontId="8" fillId="0" borderId="6" xfId="0" applyFont="1" applyBorder="1" applyAlignment="1">
      <alignment horizontal="center"/>
    </xf>
    <xf numFmtId="164" fontId="12" fillId="0" borderId="0" xfId="0" applyFont="1" applyAlignment="1">
      <alignment horizontal="left"/>
    </xf>
    <xf numFmtId="164" fontId="8" fillId="2" borderId="11" xfId="0" applyFont="1" applyFill="1" applyBorder="1" applyAlignment="1">
      <alignment horizontal="left" vertical="center"/>
    </xf>
    <xf numFmtId="164" fontId="8" fillId="2" borderId="3" xfId="0" applyFont="1" applyFill="1" applyBorder="1" applyAlignment="1">
      <alignment horizontal="left" vertical="center"/>
    </xf>
    <xf numFmtId="164" fontId="8" fillId="2" borderId="12" xfId="0" applyFont="1" applyFill="1" applyBorder="1" applyAlignment="1">
      <alignment horizontal="left" vertical="center"/>
    </xf>
  </cellXfs>
  <cellStyles count="10">
    <cellStyle name="Comma" xfId="6" builtinId="3"/>
    <cellStyle name="Currency" xfId="5" builtinId="4"/>
    <cellStyle name="Currency 2" xfId="3" xr:uid="{599B4FAA-6152-4148-AD65-DA5FB4416721}"/>
    <cellStyle name="Currency 2 2" xfId="8" xr:uid="{5122D8A2-1647-4140-840E-BE6AF3F3B08D}"/>
    <cellStyle name="Hyperlink" xfId="9" builtinId="8"/>
    <cellStyle name="Normal" xfId="0" builtinId="0"/>
    <cellStyle name="Normal 2" xfId="2" xr:uid="{F1218C8C-3773-4A41-9987-592551C80C6D}"/>
    <cellStyle name="Normal 2 2" xfId="7" xr:uid="{AEF1C354-9484-46DE-B360-3FD047B647E0}"/>
    <cellStyle name="Percent" xfId="1" builtinId="5"/>
    <cellStyle name="Percent 2" xfId="4" xr:uid="{D2DB711C-63BF-4A1A-A456-448459CEFD6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133350</xdr:colOff>
      <xdr:row>8</xdr:row>
      <xdr:rowOff>165734</xdr:rowOff>
    </xdr:from>
    <xdr:to>
      <xdr:col>11</xdr:col>
      <xdr:colOff>205740</xdr:colOff>
      <xdr:row>13</xdr:row>
      <xdr:rowOff>129540</xdr:rowOff>
    </xdr:to>
    <xdr:sp macro="" textlink="">
      <xdr:nvSpPr>
        <xdr:cNvPr id="2" name="TextBox 1">
          <a:extLst>
            <a:ext uri="{FF2B5EF4-FFF2-40B4-BE49-F238E27FC236}">
              <a16:creationId xmlns:a16="http://schemas.microsoft.com/office/drawing/2014/main" id="{D9F69E1C-7BB0-4600-A473-31192A9006ED}"/>
            </a:ext>
          </a:extLst>
        </xdr:cNvPr>
        <xdr:cNvSpPr txBox="1"/>
      </xdr:nvSpPr>
      <xdr:spPr>
        <a:xfrm>
          <a:off x="133350" y="1708784"/>
          <a:ext cx="9149715" cy="8591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DISCLAIMER - Users use this business finance template at their own risk when deciding how to make financial projections and carry out a financial analysis. We make no representation or warranty, express or implied, as to the financial projection model template accuracy.  This is merely an example of a financial projection template format that you might use when submitting a loan application. It is purely illustrative. This is not intended to reflect general standards or targets for any particular company or sector.</a:t>
          </a:r>
        </a:p>
      </xdr:txBody>
    </xdr:sp>
    <xdr:clientData/>
  </xdr:twoCellAnchor>
  <xdr:twoCellAnchor editAs="oneCell">
    <xdr:from>
      <xdr:col>1</xdr:col>
      <xdr:colOff>63500</xdr:colOff>
      <xdr:row>0</xdr:row>
      <xdr:rowOff>114301</xdr:rowOff>
    </xdr:from>
    <xdr:to>
      <xdr:col>4</xdr:col>
      <xdr:colOff>136971</xdr:colOff>
      <xdr:row>7</xdr:row>
      <xdr:rowOff>152401</xdr:rowOff>
    </xdr:to>
    <xdr:pic>
      <xdr:nvPicPr>
        <xdr:cNvPr id="4" name="Picture 3">
          <a:extLst>
            <a:ext uri="{FF2B5EF4-FFF2-40B4-BE49-F238E27FC236}">
              <a16:creationId xmlns:a16="http://schemas.microsoft.com/office/drawing/2014/main" id="{CA7C745F-46BE-D643-AC6A-1FDB881A22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 y="279401"/>
          <a:ext cx="5432236" cy="128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8415</xdr:colOff>
      <xdr:row>1</xdr:row>
      <xdr:rowOff>564356</xdr:rowOff>
    </xdr:from>
    <xdr:to>
      <xdr:col>4</xdr:col>
      <xdr:colOff>12859</xdr:colOff>
      <xdr:row>5</xdr:row>
      <xdr:rowOff>246221</xdr:rowOff>
    </xdr:to>
    <xdr:sp macro="" textlink="">
      <xdr:nvSpPr>
        <xdr:cNvPr id="2" name="TextBox 1">
          <a:extLst>
            <a:ext uri="{FF2B5EF4-FFF2-40B4-BE49-F238E27FC236}">
              <a16:creationId xmlns:a16="http://schemas.microsoft.com/office/drawing/2014/main" id="{C00D10D7-B229-6F43-A84F-3C8D313CAE38}"/>
            </a:ext>
          </a:extLst>
        </xdr:cNvPr>
        <xdr:cNvSpPr txBox="1"/>
      </xdr:nvSpPr>
      <xdr:spPr>
        <a:xfrm>
          <a:off x="234634" y="1135856"/>
          <a:ext cx="4886006" cy="100345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Provide the amount of the total project costs, including  equity you may have already injected in the project or plan to inject during the project. Fill out the requested information in Column C (shaded in orange).</a:t>
          </a:r>
          <a:r>
            <a:rPr lang="en-US" sz="1100" baseline="0"/>
            <a:t>  DO NOT manually adjust any of the data within the Year 1, Year 2, or Year 3 projection tables because this is all formula driven from the data in Column C.</a:t>
          </a:r>
          <a:endParaRPr lang="en-US" sz="1100"/>
        </a:p>
        <a:p>
          <a:endParaRPr lang="en-US" sz="1100"/>
        </a:p>
      </xdr:txBody>
    </xdr:sp>
    <xdr:clientData/>
  </xdr:twoCellAnchor>
  <xdr:twoCellAnchor>
    <xdr:from>
      <xdr:col>7</xdr:col>
      <xdr:colOff>8572</xdr:colOff>
      <xdr:row>3</xdr:row>
      <xdr:rowOff>95250</xdr:rowOff>
    </xdr:from>
    <xdr:to>
      <xdr:col>16</xdr:col>
      <xdr:colOff>626745</xdr:colOff>
      <xdr:row>7</xdr:row>
      <xdr:rowOff>142874</xdr:rowOff>
    </xdr:to>
    <xdr:sp macro="" textlink="">
      <xdr:nvSpPr>
        <xdr:cNvPr id="5" name="TextBox 4">
          <a:extLst>
            <a:ext uri="{FF2B5EF4-FFF2-40B4-BE49-F238E27FC236}">
              <a16:creationId xmlns:a16="http://schemas.microsoft.com/office/drawing/2014/main" id="{D4CCAFC0-00B1-4425-9FBB-72D17F2CFB86}"/>
            </a:ext>
          </a:extLst>
        </xdr:cNvPr>
        <xdr:cNvSpPr txBox="1"/>
      </xdr:nvSpPr>
      <xdr:spPr>
        <a:xfrm>
          <a:off x="8807291" y="1488281"/>
          <a:ext cx="7261860" cy="1047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DISCLAIMER - Users use this business finance template at their own risk when deciding how to make financial projections and carry out a financial analysis. We make no representation or warranty, express or implied, as to the financial projection model template accuracy.  This is merely an example of a financial projection template format that you might use when submitting a loan application. It is purely illustrative. This is not intended to reflect general standards or targets for any particular company or sector.</a:t>
          </a:r>
        </a:p>
      </xdr:txBody>
    </xdr:sp>
    <xdr:clientData/>
  </xdr:twoCellAnchor>
  <xdr:twoCellAnchor editAs="oneCell">
    <xdr:from>
      <xdr:col>31</xdr:col>
      <xdr:colOff>333375</xdr:colOff>
      <xdr:row>0</xdr:row>
      <xdr:rowOff>38100</xdr:rowOff>
    </xdr:from>
    <xdr:to>
      <xdr:col>35</xdr:col>
      <xdr:colOff>306069</xdr:colOff>
      <xdr:row>1</xdr:row>
      <xdr:rowOff>422511</xdr:rowOff>
    </xdr:to>
    <xdr:pic>
      <xdr:nvPicPr>
        <xdr:cNvPr id="8" name="Picture 7">
          <a:extLst>
            <a:ext uri="{FF2B5EF4-FFF2-40B4-BE49-F238E27FC236}">
              <a16:creationId xmlns:a16="http://schemas.microsoft.com/office/drawing/2014/main" id="{0EED1CE9-7D30-4C9C-99C7-559B1C2362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84625" y="38100"/>
          <a:ext cx="3335019" cy="955911"/>
        </a:xfrm>
        <a:prstGeom prst="rect">
          <a:avLst/>
        </a:prstGeom>
      </xdr:spPr>
    </xdr:pic>
    <xdr:clientData/>
  </xdr:twoCellAnchor>
  <xdr:twoCellAnchor editAs="oneCell">
    <xdr:from>
      <xdr:col>47</xdr:col>
      <xdr:colOff>266700</xdr:colOff>
      <xdr:row>0</xdr:row>
      <xdr:rowOff>38100</xdr:rowOff>
    </xdr:from>
    <xdr:to>
      <xdr:col>51</xdr:col>
      <xdr:colOff>268923</xdr:colOff>
      <xdr:row>1</xdr:row>
      <xdr:rowOff>416796</xdr:rowOff>
    </xdr:to>
    <xdr:pic>
      <xdr:nvPicPr>
        <xdr:cNvPr id="9" name="Picture 8">
          <a:extLst>
            <a:ext uri="{FF2B5EF4-FFF2-40B4-BE49-F238E27FC236}">
              <a16:creationId xmlns:a16="http://schemas.microsoft.com/office/drawing/2014/main" id="{7E9ED0C3-7001-4D26-8C8B-E87D0215A6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786300" y="38100"/>
          <a:ext cx="3340735" cy="950196"/>
        </a:xfrm>
        <a:prstGeom prst="rect">
          <a:avLst/>
        </a:prstGeom>
      </xdr:spPr>
    </xdr:pic>
    <xdr:clientData/>
  </xdr:twoCellAnchor>
  <xdr:twoCellAnchor editAs="oneCell">
    <xdr:from>
      <xdr:col>1</xdr:col>
      <xdr:colOff>206692</xdr:colOff>
      <xdr:row>0</xdr:row>
      <xdr:rowOff>127161</xdr:rowOff>
    </xdr:from>
    <xdr:to>
      <xdr:col>2</xdr:col>
      <xdr:colOff>613251</xdr:colOff>
      <xdr:row>1</xdr:row>
      <xdr:rowOff>401082</xdr:rowOff>
    </xdr:to>
    <xdr:pic>
      <xdr:nvPicPr>
        <xdr:cNvPr id="10" name="Picture 9">
          <a:extLst>
            <a:ext uri="{FF2B5EF4-FFF2-40B4-BE49-F238E27FC236}">
              <a16:creationId xmlns:a16="http://schemas.microsoft.com/office/drawing/2014/main" id="{536434A5-E25F-45E9-AF4A-3F839E890C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292" y="127161"/>
          <a:ext cx="3359309" cy="841611"/>
        </a:xfrm>
        <a:prstGeom prst="rect">
          <a:avLst/>
        </a:prstGeom>
      </xdr:spPr>
    </xdr:pic>
    <xdr:clientData/>
  </xdr:twoCellAnchor>
  <xdr:twoCellAnchor editAs="oneCell">
    <xdr:from>
      <xdr:col>14</xdr:col>
      <xdr:colOff>553878</xdr:colOff>
      <xdr:row>0</xdr:row>
      <xdr:rowOff>127161</xdr:rowOff>
    </xdr:from>
    <xdr:to>
      <xdr:col>18</xdr:col>
      <xdr:colOff>627061</xdr:colOff>
      <xdr:row>1</xdr:row>
      <xdr:rowOff>402987</xdr:rowOff>
    </xdr:to>
    <xdr:pic>
      <xdr:nvPicPr>
        <xdr:cNvPr id="11" name="Picture 10">
          <a:extLst>
            <a:ext uri="{FF2B5EF4-FFF2-40B4-BE49-F238E27FC236}">
              <a16:creationId xmlns:a16="http://schemas.microsoft.com/office/drawing/2014/main" id="{8200FF47-DDCD-4938-860D-660F78010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65253" y="127161"/>
          <a:ext cx="3371215" cy="8435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1271</xdr:colOff>
      <xdr:row>11</xdr:row>
      <xdr:rowOff>104140</xdr:rowOff>
    </xdr:from>
    <xdr:to>
      <xdr:col>11</xdr:col>
      <xdr:colOff>363855</xdr:colOff>
      <xdr:row>13</xdr:row>
      <xdr:rowOff>186690</xdr:rowOff>
    </xdr:to>
    <xdr:sp macro="" textlink="">
      <xdr:nvSpPr>
        <xdr:cNvPr id="3" name="TextBox 2">
          <a:extLst>
            <a:ext uri="{FF2B5EF4-FFF2-40B4-BE49-F238E27FC236}">
              <a16:creationId xmlns:a16="http://schemas.microsoft.com/office/drawing/2014/main" id="{7298CF19-3FA7-4F26-A41C-9C5D3B558595}"/>
            </a:ext>
          </a:extLst>
        </xdr:cNvPr>
        <xdr:cNvSpPr txBox="1"/>
      </xdr:nvSpPr>
      <xdr:spPr>
        <a:xfrm>
          <a:off x="258446" y="2552065"/>
          <a:ext cx="11240134" cy="4826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Description: The Loan</a:t>
          </a:r>
          <a:r>
            <a:rPr lang="en-US" sz="1200" baseline="0"/>
            <a:t> Summary sheet tab will be updated based on the numeric entries added to the detailed Assumptions &amp; Monthly Breakdown sheet tab.  This worksheets reveals key details about your venture's finances to the lender. The loan summary is crucial to determining whether the lender will grant the request for funds.</a:t>
          </a:r>
          <a:endParaRPr lang="en-US" sz="1200"/>
        </a:p>
      </xdr:txBody>
    </xdr:sp>
    <xdr:clientData/>
  </xdr:twoCellAnchor>
  <xdr:twoCellAnchor editAs="oneCell">
    <xdr:from>
      <xdr:col>1</xdr:col>
      <xdr:colOff>50800</xdr:colOff>
      <xdr:row>0</xdr:row>
      <xdr:rowOff>50801</xdr:rowOff>
    </xdr:from>
    <xdr:to>
      <xdr:col>2</xdr:col>
      <xdr:colOff>876300</xdr:colOff>
      <xdr:row>4</xdr:row>
      <xdr:rowOff>133837</xdr:rowOff>
    </xdr:to>
    <xdr:pic>
      <xdr:nvPicPr>
        <xdr:cNvPr id="5" name="Picture 4">
          <a:extLst>
            <a:ext uri="{FF2B5EF4-FFF2-40B4-BE49-F238E27FC236}">
              <a16:creationId xmlns:a16="http://schemas.microsoft.com/office/drawing/2014/main" id="{48C1A578-AF2A-0A43-9E39-2D3057F3B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3700" y="50801"/>
          <a:ext cx="3810000" cy="899646"/>
        </a:xfrm>
        <a:prstGeom prst="rect">
          <a:avLst/>
        </a:prstGeom>
      </xdr:spPr>
    </xdr:pic>
    <xdr:clientData/>
  </xdr:twoCellAnchor>
  <xdr:twoCellAnchor>
    <xdr:from>
      <xdr:col>4</xdr:col>
      <xdr:colOff>895350</xdr:colOff>
      <xdr:row>0</xdr:row>
      <xdr:rowOff>161925</xdr:rowOff>
    </xdr:from>
    <xdr:to>
      <xdr:col>11</xdr:col>
      <xdr:colOff>360045</xdr:colOff>
      <xdr:row>5</xdr:row>
      <xdr:rowOff>285750</xdr:rowOff>
    </xdr:to>
    <xdr:sp macro="" textlink="">
      <xdr:nvSpPr>
        <xdr:cNvPr id="4" name="TextBox 3">
          <a:extLst>
            <a:ext uri="{FF2B5EF4-FFF2-40B4-BE49-F238E27FC236}">
              <a16:creationId xmlns:a16="http://schemas.microsoft.com/office/drawing/2014/main" id="{4FFEB1F8-6894-45D2-B14F-C207DBCE056E}"/>
            </a:ext>
          </a:extLst>
        </xdr:cNvPr>
        <xdr:cNvSpPr txBox="1"/>
      </xdr:nvSpPr>
      <xdr:spPr>
        <a:xfrm>
          <a:off x="5610225" y="161925"/>
          <a:ext cx="5884545"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DISCLAIMER - Users use this business finance template at their own risk when deciding how to make financial projections and carry out a financial analysis. We make no representation or warranty, express or implied, as to the financial projection model template accuracy.  This is merely an example of a financial projection template format that you might use when submitting a loan application. It is purely illustrative. This is not intended to reflect general standards or targets for any particular company or sector.</a:t>
          </a:r>
        </a:p>
      </xdr:txBody>
    </xdr:sp>
    <xdr:clientData/>
  </xdr:twoCellAnchor>
  <xdr:twoCellAnchor>
    <xdr:from>
      <xdr:col>5</xdr:col>
      <xdr:colOff>1905</xdr:colOff>
      <xdr:row>23</xdr:row>
      <xdr:rowOff>139065</xdr:rowOff>
    </xdr:from>
    <xdr:to>
      <xdr:col>11</xdr:col>
      <xdr:colOff>472440</xdr:colOff>
      <xdr:row>30</xdr:row>
      <xdr:rowOff>68580</xdr:rowOff>
    </xdr:to>
    <xdr:sp macro="" textlink="">
      <xdr:nvSpPr>
        <xdr:cNvPr id="2" name="TextBox 1">
          <a:extLst>
            <a:ext uri="{FF2B5EF4-FFF2-40B4-BE49-F238E27FC236}">
              <a16:creationId xmlns:a16="http://schemas.microsoft.com/office/drawing/2014/main" id="{F3E048ED-3BC2-4C81-92D4-39E6682D671E}"/>
            </a:ext>
          </a:extLst>
        </xdr:cNvPr>
        <xdr:cNvSpPr txBox="1"/>
      </xdr:nvSpPr>
      <xdr:spPr>
        <a:xfrm>
          <a:off x="5724525" y="5221605"/>
          <a:ext cx="5880735" cy="1316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Notes:</a:t>
          </a:r>
        </a:p>
        <a:p>
          <a:r>
            <a:rPr lang="en-US" sz="1100"/>
            <a:t>&gt; Colors in Column C correspond to colors in Assumptions worksheet.</a:t>
          </a:r>
        </a:p>
        <a:p>
          <a:r>
            <a:rPr lang="en-US" sz="1100"/>
            <a:t>&gt; Startup Working Capital includes the following expenses: Incorporation Fee, Security Deposit, </a:t>
          </a:r>
          <a:br>
            <a:rPr lang="en-US" sz="1100"/>
          </a:br>
          <a:r>
            <a:rPr lang="en-US" sz="1100"/>
            <a:t>    Preopening Advertising,</a:t>
          </a:r>
          <a:r>
            <a:rPr lang="en-US" sz="1100" baseline="0"/>
            <a:t> </a:t>
          </a:r>
          <a:r>
            <a:rPr lang="en-US" sz="1100"/>
            <a:t>Training Fee, Travel &amp; Supplies, Construction Contingency.</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&gt; </a:t>
          </a:r>
          <a:r>
            <a:rPr lang="en-US" sz="1100">
              <a:solidFill>
                <a:schemeClr val="dk1"/>
              </a:solidFill>
              <a:effectLst/>
              <a:latin typeface="+mn-lt"/>
              <a:ea typeface="+mn-ea"/>
              <a:cs typeface="+mn-cs"/>
            </a:rPr>
            <a:t>Operating Working Capital is determined by average monthly "Total Expenses before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Interest Expense" in the Assumptions worksheet multiplied by the number of months in C33 on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this worksheet.</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636</xdr:colOff>
      <xdr:row>10</xdr:row>
      <xdr:rowOff>97789</xdr:rowOff>
    </xdr:from>
    <xdr:to>
      <xdr:col>12</xdr:col>
      <xdr:colOff>457200</xdr:colOff>
      <xdr:row>13</xdr:row>
      <xdr:rowOff>104774</xdr:rowOff>
    </xdr:to>
    <xdr:sp macro="" textlink="">
      <xdr:nvSpPr>
        <xdr:cNvPr id="2" name="TextBox 1">
          <a:extLst>
            <a:ext uri="{FF2B5EF4-FFF2-40B4-BE49-F238E27FC236}">
              <a16:creationId xmlns:a16="http://schemas.microsoft.com/office/drawing/2014/main" id="{81483303-CFCC-5F45-99F0-FFAE862F1FF0}"/>
            </a:ext>
          </a:extLst>
        </xdr:cNvPr>
        <xdr:cNvSpPr txBox="1"/>
      </xdr:nvSpPr>
      <xdr:spPr>
        <a:xfrm>
          <a:off x="114936" y="2612389"/>
          <a:ext cx="9448164" cy="7499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t>Description: The below projections have been created from the information you have provided in the Assumptions &amp; Monthly Breakdown worksheet.  The estimated three year projected financial statements incorporate current trends and expectations to arrive at a financial picture that the requestor believes they can attain as of a future date. </a:t>
          </a:r>
          <a:endParaRPr lang="en-US" sz="1200"/>
        </a:p>
      </xdr:txBody>
    </xdr:sp>
    <xdr:clientData/>
  </xdr:twoCellAnchor>
  <xdr:twoCellAnchor editAs="oneCell">
    <xdr:from>
      <xdr:col>0</xdr:col>
      <xdr:colOff>93345</xdr:colOff>
      <xdr:row>0</xdr:row>
      <xdr:rowOff>0</xdr:rowOff>
    </xdr:from>
    <xdr:to>
      <xdr:col>4</xdr:col>
      <xdr:colOff>473710</xdr:colOff>
      <xdr:row>5</xdr:row>
      <xdr:rowOff>134981</xdr:rowOff>
    </xdr:to>
    <xdr:pic>
      <xdr:nvPicPr>
        <xdr:cNvPr id="6" name="Picture 5">
          <a:extLst>
            <a:ext uri="{FF2B5EF4-FFF2-40B4-BE49-F238E27FC236}">
              <a16:creationId xmlns:a16="http://schemas.microsoft.com/office/drawing/2014/main" id="{D2F64434-9673-184B-8CAF-860EF5FD79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345" y="0"/>
          <a:ext cx="4409440" cy="1135106"/>
        </a:xfrm>
        <a:prstGeom prst="rect">
          <a:avLst/>
        </a:prstGeom>
      </xdr:spPr>
    </xdr:pic>
    <xdr:clientData/>
  </xdr:twoCellAnchor>
  <xdr:twoCellAnchor>
    <xdr:from>
      <xdr:col>5</xdr:col>
      <xdr:colOff>506731</xdr:colOff>
      <xdr:row>0</xdr:row>
      <xdr:rowOff>87630</xdr:rowOff>
    </xdr:from>
    <xdr:to>
      <xdr:col>12</xdr:col>
      <xdr:colOff>466726</xdr:colOff>
      <xdr:row>6</xdr:row>
      <xdr:rowOff>381000</xdr:rowOff>
    </xdr:to>
    <xdr:sp macro="" textlink="">
      <xdr:nvSpPr>
        <xdr:cNvPr id="4" name="TextBox 3">
          <a:extLst>
            <a:ext uri="{FF2B5EF4-FFF2-40B4-BE49-F238E27FC236}">
              <a16:creationId xmlns:a16="http://schemas.microsoft.com/office/drawing/2014/main" id="{37417ABC-8199-491E-9058-BA73FAA0D8D7}"/>
            </a:ext>
          </a:extLst>
        </xdr:cNvPr>
        <xdr:cNvSpPr txBox="1"/>
      </xdr:nvSpPr>
      <xdr:spPr>
        <a:xfrm>
          <a:off x="5497831" y="87630"/>
          <a:ext cx="4484370" cy="1493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DISCLAIMER - Users use this business finance template at their own risk when deciding how to make financial projections and carry out a financial analysis. We make no representation or warranty, express or implied, as to the financial projection model template accuracy.  This is merely an example of a financial projection template format that you might use when submitting a loan application. It is purely illustrative. This is not intended to reflect general standards or targets for any particular company or sector.</a:t>
          </a:r>
        </a:p>
      </xdr:txBody>
    </xdr:sp>
    <xdr:clientData/>
  </xdr:twoCellAnchor>
  <xdr:twoCellAnchor>
    <xdr:from>
      <xdr:col>1</xdr:col>
      <xdr:colOff>1905</xdr:colOff>
      <xdr:row>53</xdr:row>
      <xdr:rowOff>198119</xdr:rowOff>
    </xdr:from>
    <xdr:to>
      <xdr:col>10</xdr:col>
      <xdr:colOff>596265</xdr:colOff>
      <xdr:row>56</xdr:row>
      <xdr:rowOff>169545</xdr:rowOff>
    </xdr:to>
    <xdr:sp macro="" textlink="">
      <xdr:nvSpPr>
        <xdr:cNvPr id="3" name="TextBox 2">
          <a:extLst>
            <a:ext uri="{FF2B5EF4-FFF2-40B4-BE49-F238E27FC236}">
              <a16:creationId xmlns:a16="http://schemas.microsoft.com/office/drawing/2014/main" id="{32F12591-42DF-4805-88CA-774D250E935E}"/>
            </a:ext>
          </a:extLst>
        </xdr:cNvPr>
        <xdr:cNvSpPr txBox="1"/>
      </xdr:nvSpPr>
      <xdr:spPr>
        <a:xfrm>
          <a:off x="116205" y="10189844"/>
          <a:ext cx="8585835" cy="876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*Common Area Maintenance</a:t>
          </a:r>
        </a:p>
        <a:p>
          <a:r>
            <a:rPr lang="en-US" sz="1100"/>
            <a:t>*Earnings Before Interest, Taxes, Depreciation, &amp; Amortization</a:t>
          </a:r>
        </a:p>
        <a:p>
          <a:r>
            <a:rPr lang="en-US" sz="1100"/>
            <a:t>*Loan calculations have been based off the standard 10 year term at 6%.</a:t>
          </a:r>
        </a:p>
        <a:p>
          <a:r>
            <a:rPr lang="en-US" sz="1100"/>
            <a:t>*If terms of your loan are different than a normal 10 year term at 6%, you should contact Business Finance Depot for assistance in adjustments.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ul%20B\AppData\Local\Microsoft\Windows\INetCache\Content.Outlook\I61B99PZ\Business%20Plan%20Sample%20projectionsnew2%20(1)%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Costs"/>
      <sheetName val="Loan Calculator"/>
      <sheetName val="Cash Flow - Year 1"/>
      <sheetName val="Cash Flow - Year 2"/>
      <sheetName val="Cash Flow - Year 3"/>
    </sheetNames>
    <sheetDataSet>
      <sheetData sheetId="0">
        <row r="2">
          <cell r="C2" t="str">
            <v>Company Name</v>
          </cell>
        </row>
      </sheetData>
      <sheetData sheetId="1">
        <row r="9">
          <cell r="E9" t="str">
            <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4381E-E316-4047-9E50-ABDA4505FD83}">
  <sheetPr>
    <tabColor rgb="FFFFFF00"/>
  </sheetPr>
  <dimension ref="B12:E65"/>
  <sheetViews>
    <sheetView showGridLines="0" tabSelected="1" zoomScale="90" zoomScaleNormal="90" workbookViewId="0">
      <selection activeCell="G51" sqref="G51"/>
    </sheetView>
  </sheetViews>
  <sheetFormatPr defaultColWidth="8.7109375" defaultRowHeight="12.75" x14ac:dyDescent="0.2"/>
  <cols>
    <col min="1" max="1" width="2.140625" style="16" customWidth="1"/>
    <col min="2" max="2" width="20.7109375" style="16" customWidth="1"/>
    <col min="3" max="3" width="37.28515625" style="16" customWidth="1"/>
    <col min="4" max="4" width="12.28515625" style="16" customWidth="1"/>
    <col min="5" max="5" width="10.7109375" style="16" customWidth="1"/>
    <col min="6" max="16384" width="8.7109375" style="16"/>
  </cols>
  <sheetData>
    <row r="12" spans="2:2" ht="20.25" customHeight="1" x14ac:dyDescent="0.2">
      <c r="B12" s="15"/>
    </row>
    <row r="17" spans="2:2" ht="18.75" x14ac:dyDescent="0.3">
      <c r="B17" s="14" t="s">
        <v>90</v>
      </c>
    </row>
    <row r="18" spans="2:2" ht="15.75" x14ac:dyDescent="0.25">
      <c r="B18" s="2" t="s">
        <v>91</v>
      </c>
    </row>
    <row r="19" spans="2:2" ht="15.75" x14ac:dyDescent="0.25">
      <c r="B19" s="2"/>
    </row>
    <row r="20" spans="2:2" ht="15.75" x14ac:dyDescent="0.25">
      <c r="B20" s="3" t="s">
        <v>100</v>
      </c>
    </row>
    <row r="21" spans="2:2" ht="15.75" x14ac:dyDescent="0.25">
      <c r="B21" s="2" t="s">
        <v>140</v>
      </c>
    </row>
    <row r="22" spans="2:2" ht="15.75" x14ac:dyDescent="0.25">
      <c r="B22" s="2"/>
    </row>
    <row r="23" spans="2:2" ht="15.75" x14ac:dyDescent="0.25">
      <c r="B23" s="2" t="s">
        <v>108</v>
      </c>
    </row>
    <row r="24" spans="2:2" ht="15.75" x14ac:dyDescent="0.25">
      <c r="B24" s="2" t="s">
        <v>141</v>
      </c>
    </row>
    <row r="25" spans="2:2" ht="15.75" x14ac:dyDescent="0.25">
      <c r="B25" s="2" t="s">
        <v>142</v>
      </c>
    </row>
    <row r="26" spans="2:2" ht="15.75" x14ac:dyDescent="0.25">
      <c r="B26" s="2" t="s">
        <v>143</v>
      </c>
    </row>
    <row r="27" spans="2:2" ht="15.75" x14ac:dyDescent="0.25">
      <c r="B27" s="2" t="s">
        <v>144</v>
      </c>
    </row>
    <row r="29" spans="2:2" ht="15.75" x14ac:dyDescent="0.25">
      <c r="B29" s="3" t="s">
        <v>107</v>
      </c>
    </row>
    <row r="30" spans="2:2" ht="15.75" x14ac:dyDescent="0.25">
      <c r="B30" s="2" t="s">
        <v>145</v>
      </c>
    </row>
    <row r="31" spans="2:2" ht="15.75" x14ac:dyDescent="0.25">
      <c r="B31" s="2" t="s">
        <v>146</v>
      </c>
    </row>
    <row r="32" spans="2:2" ht="15.75" x14ac:dyDescent="0.25">
      <c r="B32" s="2" t="s">
        <v>147</v>
      </c>
    </row>
    <row r="34" spans="2:5" ht="15.75" x14ac:dyDescent="0.25">
      <c r="B34" s="3" t="s">
        <v>92</v>
      </c>
    </row>
    <row r="35" spans="2:5" ht="15" x14ac:dyDescent="0.2">
      <c r="B35" s="24" t="s">
        <v>125</v>
      </c>
    </row>
    <row r="36" spans="2:5" ht="15.75" x14ac:dyDescent="0.25">
      <c r="B36" s="2" t="s">
        <v>148</v>
      </c>
    </row>
    <row r="37" spans="2:5" ht="15.75" x14ac:dyDescent="0.25">
      <c r="B37" s="2" t="s">
        <v>149</v>
      </c>
    </row>
    <row r="38" spans="2:5" ht="15.75" x14ac:dyDescent="0.25">
      <c r="B38" s="2" t="s">
        <v>150</v>
      </c>
    </row>
    <row r="39" spans="2:5" ht="15.75" x14ac:dyDescent="0.25">
      <c r="B39" s="2"/>
    </row>
    <row r="40" spans="2:5" ht="15.75" x14ac:dyDescent="0.25">
      <c r="B40" s="3" t="s">
        <v>156</v>
      </c>
      <c r="C40" s="17"/>
      <c r="D40" s="17"/>
      <c r="E40" s="17"/>
    </row>
    <row r="41" spans="2:5" ht="15.75" x14ac:dyDescent="0.25">
      <c r="B41" s="68" t="s">
        <v>126</v>
      </c>
      <c r="C41" s="17"/>
      <c r="D41" s="17"/>
      <c r="E41" s="17"/>
    </row>
    <row r="42" spans="2:5" ht="15.75" x14ac:dyDescent="0.25">
      <c r="B42" s="2"/>
    </row>
    <row r="43" spans="2:5" s="2" customFormat="1" ht="15.75" x14ac:dyDescent="0.25"/>
    <row r="44" spans="2:5" s="2" customFormat="1" ht="15.75" x14ac:dyDescent="0.25">
      <c r="B44" s="3" t="s">
        <v>151</v>
      </c>
    </row>
    <row r="45" spans="2:5" x14ac:dyDescent="0.2">
      <c r="B45" s="17"/>
      <c r="C45" s="176"/>
    </row>
    <row r="46" spans="2:5" ht="15.75" x14ac:dyDescent="0.25">
      <c r="B46" s="16" t="s">
        <v>98</v>
      </c>
      <c r="C46" s="203"/>
    </row>
    <row r="47" spans="2:5" ht="15" x14ac:dyDescent="0.2">
      <c r="B47" s="16" t="s">
        <v>99</v>
      </c>
      <c r="C47" s="204"/>
    </row>
    <row r="48" spans="2:5" ht="15" x14ac:dyDescent="0.2">
      <c r="B48" s="16" t="s">
        <v>97</v>
      </c>
      <c r="C48" s="205"/>
    </row>
    <row r="49" spans="2:5" ht="15.75" x14ac:dyDescent="0.25">
      <c r="B49" s="16" t="s">
        <v>95</v>
      </c>
      <c r="C49" s="203"/>
    </row>
    <row r="50" spans="2:5" ht="15" x14ac:dyDescent="0.25">
      <c r="B50" s="16" t="s">
        <v>96</v>
      </c>
      <c r="C50" s="206"/>
    </row>
    <row r="53" spans="2:5" ht="15.75" x14ac:dyDescent="0.25">
      <c r="B53" s="2" t="s">
        <v>122</v>
      </c>
      <c r="C53" s="2"/>
      <c r="D53" s="2"/>
      <c r="E53" s="2"/>
    </row>
    <row r="54" spans="2:5" ht="15.75" x14ac:dyDescent="0.25">
      <c r="B54" s="2"/>
      <c r="C54" s="2"/>
      <c r="D54" s="2"/>
      <c r="E54" s="2"/>
    </row>
    <row r="55" spans="2:5" ht="15.75" x14ac:dyDescent="0.25">
      <c r="B55" s="11">
        <f>C48</f>
        <v>0</v>
      </c>
      <c r="C55" s="11"/>
      <c r="D55" s="12">
        <f ca="1">TODAY()</f>
        <v>46291</v>
      </c>
    </row>
    <row r="56" spans="2:5" ht="15.75" x14ac:dyDescent="0.25">
      <c r="B56" s="3" t="s">
        <v>78</v>
      </c>
      <c r="C56" s="3"/>
      <c r="D56" s="13" t="s">
        <v>7</v>
      </c>
    </row>
    <row r="58" spans="2:5" ht="15.75" x14ac:dyDescent="0.25">
      <c r="B58" s="3" t="s">
        <v>101</v>
      </c>
    </row>
    <row r="59" spans="2:5" ht="15.75" x14ac:dyDescent="0.25">
      <c r="B59" s="2" t="s">
        <v>102</v>
      </c>
    </row>
    <row r="60" spans="2:5" ht="15.75" x14ac:dyDescent="0.25">
      <c r="B60" s="3" t="s">
        <v>105</v>
      </c>
    </row>
    <row r="61" spans="2:5" ht="15.75" x14ac:dyDescent="0.25">
      <c r="B61" s="2" t="s">
        <v>106</v>
      </c>
    </row>
    <row r="62" spans="2:5" ht="15.75" x14ac:dyDescent="0.25">
      <c r="B62" s="3" t="s">
        <v>104</v>
      </c>
    </row>
    <row r="63" spans="2:5" ht="15.75" x14ac:dyDescent="0.25">
      <c r="B63" s="2" t="s">
        <v>103</v>
      </c>
    </row>
    <row r="65" spans="2:2" ht="15.75" x14ac:dyDescent="0.25">
      <c r="B65" s="55" t="s">
        <v>206</v>
      </c>
    </row>
  </sheetData>
  <sheetProtection algorithmName="SHA-512" hashValue="kYTHRICa554y0Om8EI/AeG5XVuoknsSLwW06CJBRiT0U9F4z6dZp5zbjxYanBSjfapUE0dQi7FxUD6EtheVx5w==" saltValue="uqlg1rh6UeqQ7iekLLuc7A==" spinCount="100000" sheet="1" objects="1" scenarios="1"/>
  <printOptions horizontalCentered="1"/>
  <pageMargins left="0" right="0" top="0.75" bottom="0.75" header="0.3" footer="0.3"/>
  <pageSetup scale="70" orientation="portrait" horizontalDpi="4294967293"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B050"/>
  </sheetPr>
  <dimension ref="B1:AZ111"/>
  <sheetViews>
    <sheetView zoomScale="85" zoomScaleNormal="85" workbookViewId="0">
      <selection activeCell="G17" sqref="G17"/>
    </sheetView>
  </sheetViews>
  <sheetFormatPr defaultColWidth="8.7109375" defaultRowHeight="15.75" x14ac:dyDescent="0.25"/>
  <cols>
    <col min="1" max="1" width="3.28515625" style="2" customWidth="1"/>
    <col min="2" max="2" width="43.140625" style="2" customWidth="1"/>
    <col min="3" max="3" width="17.28515625" style="2" customWidth="1"/>
    <col min="4" max="4" width="17.85546875" style="2" customWidth="1"/>
    <col min="5" max="5" width="8" style="2" customWidth="1"/>
    <col min="6" max="6" width="37.7109375" style="2" customWidth="1"/>
    <col min="7" max="8" width="12.140625" style="2" customWidth="1"/>
    <col min="9" max="9" width="11.7109375" style="2" customWidth="1"/>
    <col min="10" max="10" width="12" style="2" customWidth="1"/>
    <col min="11" max="11" width="11.7109375" style="2" customWidth="1"/>
    <col min="12" max="12" width="12" style="2" customWidth="1"/>
    <col min="13" max="13" width="12.7109375" style="2" customWidth="1"/>
    <col min="14" max="16" width="12" style="2" bestFit="1" customWidth="1"/>
    <col min="17" max="17" width="12.140625" style="2" customWidth="1"/>
    <col min="18" max="18" width="11.85546875" style="2" customWidth="1"/>
    <col min="19" max="19" width="14" style="2" customWidth="1"/>
    <col min="20" max="20" width="6.5703125" style="2" customWidth="1"/>
    <col min="21" max="21" width="3.140625" style="2" customWidth="1"/>
    <col min="22" max="22" width="37.85546875" style="2" customWidth="1"/>
    <col min="23" max="24" width="11.28515625" style="2" customWidth="1"/>
    <col min="25" max="33" width="12" style="2" bestFit="1" customWidth="1"/>
    <col min="34" max="34" width="11.28515625" style="2" customWidth="1"/>
    <col min="35" max="35" width="13.42578125" style="2" customWidth="1"/>
    <col min="36" max="36" width="6.140625" style="2" customWidth="1"/>
    <col min="37" max="37" width="3.7109375" style="2" customWidth="1"/>
    <col min="38" max="38" width="38" style="2" customWidth="1"/>
    <col min="39" max="40" width="11.42578125" style="2" customWidth="1"/>
    <col min="41" max="49" width="12" style="2" bestFit="1" customWidth="1"/>
    <col min="50" max="50" width="11.42578125" style="2" customWidth="1"/>
    <col min="51" max="51" width="13.42578125" style="2" customWidth="1"/>
    <col min="52" max="52" width="6.140625" style="2" customWidth="1"/>
    <col min="53" max="16384" width="8.7109375" style="2"/>
  </cols>
  <sheetData>
    <row r="1" spans="2:52" s="89" customFormat="1" ht="45" customHeight="1" x14ac:dyDescent="0.4">
      <c r="B1" s="87"/>
      <c r="C1" s="88"/>
      <c r="F1" s="88" t="s">
        <v>127</v>
      </c>
      <c r="V1" s="88" t="s">
        <v>128</v>
      </c>
      <c r="AL1" s="88" t="s">
        <v>129</v>
      </c>
    </row>
    <row r="2" spans="2:52" s="89" customFormat="1" ht="45" customHeight="1" x14ac:dyDescent="0.4">
      <c r="B2" s="87"/>
      <c r="C2" s="88"/>
      <c r="F2" s="3">
        <f>Instructions!C46</f>
        <v>0</v>
      </c>
      <c r="V2" s="3">
        <f>F2</f>
        <v>0</v>
      </c>
      <c r="AL2" s="3">
        <f>V2</f>
        <v>0</v>
      </c>
    </row>
    <row r="3" spans="2:52" ht="20.25" customHeight="1" x14ac:dyDescent="0.25">
      <c r="B3" s="3"/>
      <c r="C3" s="3"/>
      <c r="F3" s="3">
        <f>Instructions!C47</f>
        <v>0</v>
      </c>
      <c r="V3" s="3">
        <f>F3</f>
        <v>0</v>
      </c>
      <c r="AL3" s="3">
        <f>V3</f>
        <v>0</v>
      </c>
    </row>
    <row r="4" spans="2:52" ht="20.25" customHeight="1" x14ac:dyDescent="0.25">
      <c r="B4" s="3"/>
      <c r="C4" s="3"/>
      <c r="F4" s="2">
        <f>Instructions!C48</f>
        <v>0</v>
      </c>
      <c r="V4" s="2">
        <f>F4</f>
        <v>0</v>
      </c>
      <c r="AL4" s="2">
        <f>V4</f>
        <v>0</v>
      </c>
    </row>
    <row r="5" spans="2:52" ht="20.25" customHeight="1" x14ac:dyDescent="0.25">
      <c r="B5" s="3"/>
      <c r="C5" s="3"/>
    </row>
    <row r="6" spans="2:52" ht="20.25" customHeight="1" x14ac:dyDescent="0.25">
      <c r="B6" s="3"/>
      <c r="C6" s="3"/>
    </row>
    <row r="7" spans="2:52" ht="20.25" customHeight="1" x14ac:dyDescent="0.25">
      <c r="B7" s="3"/>
      <c r="C7" s="3"/>
    </row>
    <row r="8" spans="2:52" ht="20.25" customHeight="1" x14ac:dyDescent="0.3">
      <c r="B8" s="90" t="s">
        <v>109</v>
      </c>
      <c r="C8" s="91"/>
      <c r="D8" s="92"/>
    </row>
    <row r="9" spans="2:52" ht="16.899999999999999" customHeight="1" x14ac:dyDescent="0.25">
      <c r="F9" s="3" t="s">
        <v>71</v>
      </c>
      <c r="V9" s="3" t="s">
        <v>72</v>
      </c>
      <c r="Y9" s="93"/>
      <c r="AL9" s="3" t="s">
        <v>85</v>
      </c>
      <c r="AO9" s="93"/>
    </row>
    <row r="10" spans="2:52" ht="16.899999999999999" customHeight="1" x14ac:dyDescent="0.25">
      <c r="B10" s="3" t="s">
        <v>137</v>
      </c>
      <c r="D10" s="3" t="s">
        <v>94</v>
      </c>
    </row>
    <row r="11" spans="2:52" ht="16.899999999999999" customHeight="1" x14ac:dyDescent="0.25">
      <c r="B11" s="6" t="s">
        <v>180</v>
      </c>
      <c r="C11" s="69">
        <v>1</v>
      </c>
      <c r="D11" s="94"/>
      <c r="F11" s="95" t="s">
        <v>0</v>
      </c>
      <c r="G11" s="96">
        <v>1</v>
      </c>
      <c r="H11" s="96">
        <v>2</v>
      </c>
      <c r="I11" s="96">
        <v>3</v>
      </c>
      <c r="J11" s="96">
        <v>4</v>
      </c>
      <c r="K11" s="96">
        <v>5</v>
      </c>
      <c r="L11" s="96">
        <v>6</v>
      </c>
      <c r="M11" s="96">
        <v>7</v>
      </c>
      <c r="N11" s="96">
        <v>8</v>
      </c>
      <c r="O11" s="96">
        <v>9</v>
      </c>
      <c r="P11" s="96">
        <v>10</v>
      </c>
      <c r="Q11" s="96">
        <v>11</v>
      </c>
      <c r="R11" s="97">
        <v>12</v>
      </c>
      <c r="S11" s="98" t="s">
        <v>1</v>
      </c>
      <c r="T11" s="99" t="s">
        <v>8</v>
      </c>
      <c r="V11" s="95" t="s">
        <v>0</v>
      </c>
      <c r="W11" s="96">
        <v>13</v>
      </c>
      <c r="X11" s="96">
        <v>14</v>
      </c>
      <c r="Y11" s="96">
        <v>15</v>
      </c>
      <c r="Z11" s="96">
        <v>16</v>
      </c>
      <c r="AA11" s="96">
        <v>17</v>
      </c>
      <c r="AB11" s="96">
        <v>18</v>
      </c>
      <c r="AC11" s="96">
        <v>19</v>
      </c>
      <c r="AD11" s="96">
        <v>20</v>
      </c>
      <c r="AE11" s="96">
        <v>21</v>
      </c>
      <c r="AF11" s="96">
        <v>22</v>
      </c>
      <c r="AG11" s="96">
        <v>23</v>
      </c>
      <c r="AH11" s="96">
        <v>24</v>
      </c>
      <c r="AI11" s="98" t="s">
        <v>1</v>
      </c>
      <c r="AJ11" s="99" t="s">
        <v>8</v>
      </c>
      <c r="AL11" s="95" t="s">
        <v>0</v>
      </c>
      <c r="AM11" s="96">
        <v>25</v>
      </c>
      <c r="AN11" s="96">
        <v>26</v>
      </c>
      <c r="AO11" s="96">
        <v>27</v>
      </c>
      <c r="AP11" s="96">
        <v>28</v>
      </c>
      <c r="AQ11" s="96">
        <v>29</v>
      </c>
      <c r="AR11" s="96">
        <v>30</v>
      </c>
      <c r="AS11" s="96">
        <v>31</v>
      </c>
      <c r="AT11" s="96">
        <v>32</v>
      </c>
      <c r="AU11" s="96">
        <v>33</v>
      </c>
      <c r="AV11" s="96">
        <v>34</v>
      </c>
      <c r="AW11" s="96">
        <v>35</v>
      </c>
      <c r="AX11" s="96">
        <v>36</v>
      </c>
      <c r="AY11" s="98" t="s">
        <v>1</v>
      </c>
      <c r="AZ11" s="99" t="s">
        <v>8</v>
      </c>
    </row>
    <row r="12" spans="2:52" ht="16.899999999999999" customHeight="1" x14ac:dyDescent="0.25">
      <c r="B12" s="100" t="s">
        <v>211</v>
      </c>
      <c r="C12" s="70">
        <v>10</v>
      </c>
      <c r="D12" s="101" t="s">
        <v>160</v>
      </c>
      <c r="F12" s="102" t="s">
        <v>139</v>
      </c>
      <c r="G12" s="103"/>
      <c r="H12" s="103"/>
      <c r="I12" s="103"/>
      <c r="J12" s="103"/>
      <c r="K12" s="103"/>
      <c r="L12" s="103"/>
      <c r="M12" s="103"/>
      <c r="N12" s="103"/>
      <c r="O12" s="103"/>
      <c r="P12" s="103"/>
      <c r="Q12" s="103"/>
      <c r="R12" s="103"/>
      <c r="S12" s="104"/>
      <c r="T12" s="99"/>
      <c r="U12"/>
      <c r="V12" s="102" t="s">
        <v>139</v>
      </c>
      <c r="W12" s="103"/>
      <c r="X12" s="103"/>
      <c r="Y12" s="103"/>
      <c r="Z12" s="103"/>
      <c r="AA12" s="103"/>
      <c r="AB12" s="103"/>
      <c r="AC12" s="103"/>
      <c r="AD12" s="103"/>
      <c r="AE12" s="103"/>
      <c r="AF12" s="103"/>
      <c r="AG12" s="103"/>
      <c r="AH12" s="103"/>
      <c r="AI12" s="104"/>
      <c r="AJ12" s="99"/>
      <c r="AL12" s="105" t="s">
        <v>139</v>
      </c>
      <c r="AM12" s="103"/>
      <c r="AN12" s="103"/>
      <c r="AO12" s="103"/>
      <c r="AP12" s="103"/>
      <c r="AQ12" s="103"/>
      <c r="AR12" s="103"/>
      <c r="AS12" s="103"/>
      <c r="AT12" s="103"/>
      <c r="AU12" s="103"/>
      <c r="AV12" s="103"/>
      <c r="AW12" s="103"/>
      <c r="AX12" s="103"/>
      <c r="AY12" s="106"/>
      <c r="AZ12" s="99"/>
    </row>
    <row r="13" spans="2:52" ht="16.899999999999999" customHeight="1" x14ac:dyDescent="0.25">
      <c r="B13" s="100" t="s">
        <v>212</v>
      </c>
      <c r="C13" s="70">
        <v>1</v>
      </c>
      <c r="D13" s="101"/>
      <c r="F13" s="7" t="s">
        <v>181</v>
      </c>
      <c r="G13" s="52">
        <f>G70</f>
        <v>0.01</v>
      </c>
      <c r="H13" s="52">
        <f>$G71</f>
        <v>0.01</v>
      </c>
      <c r="I13" s="52">
        <f>G72</f>
        <v>0.01</v>
      </c>
      <c r="J13" s="52">
        <f>G73</f>
        <v>0.01</v>
      </c>
      <c r="K13" s="52">
        <f>G74</f>
        <v>0.01</v>
      </c>
      <c r="L13" s="52">
        <f>G75</f>
        <v>0.01</v>
      </c>
      <c r="M13" s="52">
        <f>G76</f>
        <v>0.01</v>
      </c>
      <c r="N13" s="52">
        <f>G77</f>
        <v>0.01</v>
      </c>
      <c r="O13" s="52">
        <f>G78</f>
        <v>0.01</v>
      </c>
      <c r="P13" s="52">
        <f>G79</f>
        <v>0.01</v>
      </c>
      <c r="Q13" s="52">
        <f>G80</f>
        <v>0.01</v>
      </c>
      <c r="R13" s="52">
        <f>G81</f>
        <v>0.01</v>
      </c>
      <c r="S13" s="104"/>
      <c r="T13" s="99"/>
      <c r="U13"/>
      <c r="V13" s="7" t="s">
        <v>181</v>
      </c>
      <c r="W13" s="52">
        <f>H70</f>
        <v>0.02</v>
      </c>
      <c r="X13" s="52">
        <f>H71</f>
        <v>0.02</v>
      </c>
      <c r="Y13" s="52">
        <f>H72</f>
        <v>0.02</v>
      </c>
      <c r="Z13" s="52">
        <f>H73</f>
        <v>0.02</v>
      </c>
      <c r="AA13" s="52">
        <f>H74</f>
        <v>0.02</v>
      </c>
      <c r="AB13" s="52">
        <f>H75</f>
        <v>0.02</v>
      </c>
      <c r="AC13" s="52">
        <f>H76</f>
        <v>0.02</v>
      </c>
      <c r="AD13" s="52">
        <f>H77</f>
        <v>0.02</v>
      </c>
      <c r="AE13" s="52">
        <f>H78</f>
        <v>0.02</v>
      </c>
      <c r="AF13" s="52">
        <f>H79</f>
        <v>0.02</v>
      </c>
      <c r="AG13" s="52">
        <f>H80</f>
        <v>0.02</v>
      </c>
      <c r="AH13" s="52">
        <f>H81</f>
        <v>0.02</v>
      </c>
      <c r="AI13" s="99"/>
      <c r="AJ13" s="99"/>
      <c r="AL13" s="107" t="s">
        <v>181</v>
      </c>
      <c r="AM13" s="52">
        <f>I70</f>
        <v>0.03</v>
      </c>
      <c r="AN13" s="52">
        <f>I71</f>
        <v>0.03</v>
      </c>
      <c r="AO13" s="52">
        <f>I72</f>
        <v>0.03</v>
      </c>
      <c r="AP13" s="52">
        <f>I73</f>
        <v>0.03</v>
      </c>
      <c r="AQ13" s="52">
        <f>I74</f>
        <v>0.03</v>
      </c>
      <c r="AR13" s="52">
        <f>I75</f>
        <v>0.03</v>
      </c>
      <c r="AS13" s="52">
        <f>I76</f>
        <v>0.03</v>
      </c>
      <c r="AT13" s="52">
        <f>I77</f>
        <v>0.03</v>
      </c>
      <c r="AU13" s="52">
        <f>I78</f>
        <v>0.03</v>
      </c>
      <c r="AV13" s="52">
        <f>I79</f>
        <v>0.03</v>
      </c>
      <c r="AW13" s="52">
        <f>I80</f>
        <v>0.03</v>
      </c>
      <c r="AX13" s="52">
        <f>I81</f>
        <v>0.03</v>
      </c>
      <c r="AY13" s="106"/>
      <c r="AZ13" s="99"/>
    </row>
    <row r="14" spans="2:52" ht="16.899999999999999" customHeight="1" x14ac:dyDescent="0.25">
      <c r="B14" s="100" t="s">
        <v>213</v>
      </c>
      <c r="C14" s="71">
        <v>0.01</v>
      </c>
      <c r="D14" s="101"/>
      <c r="F14" s="7" t="s">
        <v>152</v>
      </c>
      <c r="G14" s="41">
        <f t="shared" ref="G14:R14" si="0">(($C$17*365)/12)*G13</f>
        <v>0.3041666666666667</v>
      </c>
      <c r="H14" s="41">
        <f t="shared" si="0"/>
        <v>0.3041666666666667</v>
      </c>
      <c r="I14" s="41">
        <f t="shared" si="0"/>
        <v>0.3041666666666667</v>
      </c>
      <c r="J14" s="41">
        <f t="shared" si="0"/>
        <v>0.3041666666666667</v>
      </c>
      <c r="K14" s="41">
        <f t="shared" si="0"/>
        <v>0.3041666666666667</v>
      </c>
      <c r="L14" s="41">
        <f t="shared" si="0"/>
        <v>0.3041666666666667</v>
      </c>
      <c r="M14" s="41">
        <f t="shared" si="0"/>
        <v>0.3041666666666667</v>
      </c>
      <c r="N14" s="41">
        <f t="shared" si="0"/>
        <v>0.3041666666666667</v>
      </c>
      <c r="O14" s="41">
        <f t="shared" si="0"/>
        <v>0.3041666666666667</v>
      </c>
      <c r="P14" s="41">
        <f t="shared" si="0"/>
        <v>0.3041666666666667</v>
      </c>
      <c r="Q14" s="41">
        <f t="shared" si="0"/>
        <v>0.3041666666666667</v>
      </c>
      <c r="R14" s="41">
        <f t="shared" si="0"/>
        <v>0.3041666666666667</v>
      </c>
      <c r="S14" s="40">
        <f t="shared" ref="S14:S43" si="1">SUM(G14:R14)</f>
        <v>3.6500000000000004</v>
      </c>
      <c r="T14" s="99"/>
      <c r="U14"/>
      <c r="V14" s="7" t="s">
        <v>152</v>
      </c>
      <c r="W14" s="41">
        <f t="shared" ref="W14:AH14" si="2">(($C$17*365)/12)*W13</f>
        <v>0.60833333333333339</v>
      </c>
      <c r="X14" s="41">
        <f t="shared" si="2"/>
        <v>0.60833333333333339</v>
      </c>
      <c r="Y14" s="41">
        <f t="shared" si="2"/>
        <v>0.60833333333333339</v>
      </c>
      <c r="Z14" s="41">
        <f t="shared" si="2"/>
        <v>0.60833333333333339</v>
      </c>
      <c r="AA14" s="41">
        <f t="shared" si="2"/>
        <v>0.60833333333333339</v>
      </c>
      <c r="AB14" s="41">
        <f t="shared" si="2"/>
        <v>0.60833333333333339</v>
      </c>
      <c r="AC14" s="41">
        <f t="shared" si="2"/>
        <v>0.60833333333333339</v>
      </c>
      <c r="AD14" s="41">
        <f t="shared" si="2"/>
        <v>0.60833333333333339</v>
      </c>
      <c r="AE14" s="41">
        <f t="shared" si="2"/>
        <v>0.60833333333333339</v>
      </c>
      <c r="AF14" s="41">
        <f t="shared" si="2"/>
        <v>0.60833333333333339</v>
      </c>
      <c r="AG14" s="41">
        <f t="shared" si="2"/>
        <v>0.60833333333333339</v>
      </c>
      <c r="AH14" s="41">
        <f t="shared" si="2"/>
        <v>0.60833333333333339</v>
      </c>
      <c r="AI14" s="40">
        <f t="shared" ref="AI14" si="3">SUM(W14:AH14)</f>
        <v>7.3000000000000007</v>
      </c>
      <c r="AJ14" s="99"/>
      <c r="AL14" s="108" t="s">
        <v>152</v>
      </c>
      <c r="AM14" s="41">
        <f t="shared" ref="AM14:AX14" si="4">(($C$17*365)/12)*AM13</f>
        <v>0.91249999999999998</v>
      </c>
      <c r="AN14" s="41">
        <f t="shared" si="4"/>
        <v>0.91249999999999998</v>
      </c>
      <c r="AO14" s="41">
        <f t="shared" si="4"/>
        <v>0.91249999999999998</v>
      </c>
      <c r="AP14" s="41">
        <f t="shared" si="4"/>
        <v>0.91249999999999998</v>
      </c>
      <c r="AQ14" s="41">
        <f t="shared" si="4"/>
        <v>0.91249999999999998</v>
      </c>
      <c r="AR14" s="41">
        <f t="shared" si="4"/>
        <v>0.91249999999999998</v>
      </c>
      <c r="AS14" s="41">
        <f t="shared" si="4"/>
        <v>0.91249999999999998</v>
      </c>
      <c r="AT14" s="41">
        <f t="shared" si="4"/>
        <v>0.91249999999999998</v>
      </c>
      <c r="AU14" s="41">
        <f t="shared" si="4"/>
        <v>0.91249999999999998</v>
      </c>
      <c r="AV14" s="41">
        <f t="shared" si="4"/>
        <v>0.91249999999999998</v>
      </c>
      <c r="AW14" s="41">
        <f t="shared" si="4"/>
        <v>0.91249999999999998</v>
      </c>
      <c r="AX14" s="41">
        <f t="shared" si="4"/>
        <v>0.91249999999999998</v>
      </c>
      <c r="AY14" s="40">
        <f t="shared" ref="AY14" si="5">SUM(AM14:AX14)</f>
        <v>10.949999999999998</v>
      </c>
      <c r="AZ14" s="99"/>
    </row>
    <row r="15" spans="2:52" ht="16.899999999999999" customHeight="1" x14ac:dyDescent="0.25">
      <c r="B15" s="100" t="s">
        <v>214</v>
      </c>
      <c r="C15" s="70">
        <v>1</v>
      </c>
      <c r="D15" s="101"/>
      <c r="F15" s="6" t="s">
        <v>180</v>
      </c>
      <c r="G15" s="39">
        <f t="shared" ref="G15:R15" si="6">(($C$12*$C$11)*30)*G13</f>
        <v>3</v>
      </c>
      <c r="H15" s="39">
        <f t="shared" si="6"/>
        <v>3</v>
      </c>
      <c r="I15" s="39">
        <f t="shared" si="6"/>
        <v>3</v>
      </c>
      <c r="J15" s="39">
        <f t="shared" si="6"/>
        <v>3</v>
      </c>
      <c r="K15" s="39">
        <f t="shared" si="6"/>
        <v>3</v>
      </c>
      <c r="L15" s="39">
        <f t="shared" si="6"/>
        <v>3</v>
      </c>
      <c r="M15" s="39">
        <f t="shared" si="6"/>
        <v>3</v>
      </c>
      <c r="N15" s="39">
        <f t="shared" si="6"/>
        <v>3</v>
      </c>
      <c r="O15" s="39">
        <f t="shared" si="6"/>
        <v>3</v>
      </c>
      <c r="P15" s="39">
        <f t="shared" si="6"/>
        <v>3</v>
      </c>
      <c r="Q15" s="39">
        <f t="shared" si="6"/>
        <v>3</v>
      </c>
      <c r="R15" s="39">
        <f t="shared" si="6"/>
        <v>3</v>
      </c>
      <c r="S15" s="27">
        <f t="shared" ref="S15:S18" si="7">SUM(G15:R15)</f>
        <v>36</v>
      </c>
      <c r="T15" s="23"/>
      <c r="U15"/>
      <c r="V15" s="6" t="s">
        <v>180</v>
      </c>
      <c r="W15" s="39">
        <f t="shared" ref="W15:AH15" si="8">((($C$12*$C$11)*30)*W13)*$C$21</f>
        <v>6.6000000000000005</v>
      </c>
      <c r="X15" s="39">
        <f t="shared" si="8"/>
        <v>6.6000000000000005</v>
      </c>
      <c r="Y15" s="39">
        <f t="shared" si="8"/>
        <v>6.6000000000000005</v>
      </c>
      <c r="Z15" s="39">
        <f t="shared" si="8"/>
        <v>6.6000000000000005</v>
      </c>
      <c r="AA15" s="39">
        <f t="shared" si="8"/>
        <v>6.6000000000000005</v>
      </c>
      <c r="AB15" s="39">
        <f t="shared" si="8"/>
        <v>6.6000000000000005</v>
      </c>
      <c r="AC15" s="39">
        <f t="shared" si="8"/>
        <v>6.6000000000000005</v>
      </c>
      <c r="AD15" s="39">
        <f t="shared" si="8"/>
        <v>6.6000000000000005</v>
      </c>
      <c r="AE15" s="39">
        <f t="shared" si="8"/>
        <v>6.6000000000000005</v>
      </c>
      <c r="AF15" s="39">
        <f t="shared" si="8"/>
        <v>6.6000000000000005</v>
      </c>
      <c r="AG15" s="39">
        <f t="shared" si="8"/>
        <v>6.6000000000000005</v>
      </c>
      <c r="AH15" s="39">
        <f t="shared" si="8"/>
        <v>6.6000000000000005</v>
      </c>
      <c r="AI15" s="40">
        <f t="shared" ref="AI15:AI17" si="9">SUM(W15:AH15)</f>
        <v>79.199999999999989</v>
      </c>
      <c r="AJ15" s="23"/>
      <c r="AL15" s="6" t="s">
        <v>180</v>
      </c>
      <c r="AM15" s="39">
        <f t="shared" ref="AM15:AX15" si="10">((($C$12*$C$11)*30)*AM13)*$C$21*$C$22</f>
        <v>10.395000000000001</v>
      </c>
      <c r="AN15" s="39">
        <f t="shared" si="10"/>
        <v>10.395000000000001</v>
      </c>
      <c r="AO15" s="39">
        <f t="shared" si="10"/>
        <v>10.395000000000001</v>
      </c>
      <c r="AP15" s="39">
        <f t="shared" si="10"/>
        <v>10.395000000000001</v>
      </c>
      <c r="AQ15" s="39">
        <f t="shared" si="10"/>
        <v>10.395000000000001</v>
      </c>
      <c r="AR15" s="39">
        <f t="shared" si="10"/>
        <v>10.395000000000001</v>
      </c>
      <c r="AS15" s="39">
        <f t="shared" si="10"/>
        <v>10.395000000000001</v>
      </c>
      <c r="AT15" s="39">
        <f t="shared" si="10"/>
        <v>10.395000000000001</v>
      </c>
      <c r="AU15" s="39">
        <f t="shared" si="10"/>
        <v>10.395000000000001</v>
      </c>
      <c r="AV15" s="39">
        <f t="shared" si="10"/>
        <v>10.395000000000001</v>
      </c>
      <c r="AW15" s="39">
        <f t="shared" si="10"/>
        <v>10.395000000000001</v>
      </c>
      <c r="AX15" s="39">
        <f t="shared" si="10"/>
        <v>10.395000000000001</v>
      </c>
      <c r="AY15" s="27">
        <f t="shared" ref="AY15:AY18" si="11">SUM(AM15:AX15)</f>
        <v>124.74</v>
      </c>
      <c r="AZ15" s="23"/>
    </row>
    <row r="16" spans="2:52" ht="16.899999999999999" customHeight="1" x14ac:dyDescent="0.25">
      <c r="B16" s="100" t="s">
        <v>215</v>
      </c>
      <c r="C16" s="71">
        <v>0.01</v>
      </c>
      <c r="D16" s="101"/>
      <c r="F16" s="100" t="s">
        <v>179</v>
      </c>
      <c r="G16" s="39">
        <f t="shared" ref="G16:R16" si="12">(($C$13*G14)*$C$14)*G13</f>
        <v>3.041666666666667E-5</v>
      </c>
      <c r="H16" s="39">
        <f t="shared" si="12"/>
        <v>3.041666666666667E-5</v>
      </c>
      <c r="I16" s="39">
        <f t="shared" si="12"/>
        <v>3.041666666666667E-5</v>
      </c>
      <c r="J16" s="39">
        <f t="shared" si="12"/>
        <v>3.041666666666667E-5</v>
      </c>
      <c r="K16" s="39">
        <f t="shared" si="12"/>
        <v>3.041666666666667E-5</v>
      </c>
      <c r="L16" s="39">
        <f t="shared" si="12"/>
        <v>3.041666666666667E-5</v>
      </c>
      <c r="M16" s="39">
        <f t="shared" si="12"/>
        <v>3.041666666666667E-5</v>
      </c>
      <c r="N16" s="39">
        <f t="shared" si="12"/>
        <v>3.041666666666667E-5</v>
      </c>
      <c r="O16" s="39">
        <f t="shared" si="12"/>
        <v>3.041666666666667E-5</v>
      </c>
      <c r="P16" s="39">
        <f t="shared" si="12"/>
        <v>3.041666666666667E-5</v>
      </c>
      <c r="Q16" s="39">
        <f t="shared" si="12"/>
        <v>3.041666666666667E-5</v>
      </c>
      <c r="R16" s="39">
        <f t="shared" si="12"/>
        <v>3.041666666666667E-5</v>
      </c>
      <c r="S16" s="27">
        <f t="shared" si="7"/>
        <v>3.6499999999999993E-4</v>
      </c>
      <c r="T16" s="23"/>
      <c r="U16"/>
      <c r="V16" s="100" t="s">
        <v>179</v>
      </c>
      <c r="W16" s="39">
        <f t="shared" ref="W16:AH16" si="13">((($C$13*W14)*$C$14)*W13)*$C$21</f>
        <v>1.3383333333333335E-4</v>
      </c>
      <c r="X16" s="39">
        <f t="shared" si="13"/>
        <v>1.3383333333333335E-4</v>
      </c>
      <c r="Y16" s="39">
        <f t="shared" si="13"/>
        <v>1.3383333333333335E-4</v>
      </c>
      <c r="Z16" s="39">
        <f t="shared" si="13"/>
        <v>1.3383333333333335E-4</v>
      </c>
      <c r="AA16" s="39">
        <f t="shared" si="13"/>
        <v>1.3383333333333335E-4</v>
      </c>
      <c r="AB16" s="39">
        <f t="shared" si="13"/>
        <v>1.3383333333333335E-4</v>
      </c>
      <c r="AC16" s="39">
        <f t="shared" si="13"/>
        <v>1.3383333333333335E-4</v>
      </c>
      <c r="AD16" s="39">
        <f t="shared" si="13"/>
        <v>1.3383333333333335E-4</v>
      </c>
      <c r="AE16" s="39">
        <f t="shared" si="13"/>
        <v>1.3383333333333335E-4</v>
      </c>
      <c r="AF16" s="39">
        <f t="shared" si="13"/>
        <v>1.3383333333333335E-4</v>
      </c>
      <c r="AG16" s="39">
        <f t="shared" si="13"/>
        <v>1.3383333333333335E-4</v>
      </c>
      <c r="AH16" s="39">
        <f t="shared" si="13"/>
        <v>1.3383333333333335E-4</v>
      </c>
      <c r="AI16" s="40">
        <f t="shared" si="9"/>
        <v>1.6060000000000007E-3</v>
      </c>
      <c r="AJ16" s="23"/>
      <c r="AL16" s="100" t="s">
        <v>179</v>
      </c>
      <c r="AM16" s="39">
        <f t="shared" ref="AM16:AX16" si="14">((($C$13*AM14)*$C$14)*AM13)*$C$21*$C$22</f>
        <v>3.1618124999999999E-4</v>
      </c>
      <c r="AN16" s="39">
        <f t="shared" si="14"/>
        <v>3.1618124999999999E-4</v>
      </c>
      <c r="AO16" s="39">
        <f t="shared" si="14"/>
        <v>3.1618124999999999E-4</v>
      </c>
      <c r="AP16" s="39">
        <f t="shared" si="14"/>
        <v>3.1618124999999999E-4</v>
      </c>
      <c r="AQ16" s="39">
        <f t="shared" si="14"/>
        <v>3.1618124999999999E-4</v>
      </c>
      <c r="AR16" s="39">
        <f t="shared" si="14"/>
        <v>3.1618124999999999E-4</v>
      </c>
      <c r="AS16" s="39">
        <f t="shared" si="14"/>
        <v>3.1618124999999999E-4</v>
      </c>
      <c r="AT16" s="39">
        <f t="shared" si="14"/>
        <v>3.1618124999999999E-4</v>
      </c>
      <c r="AU16" s="39">
        <f t="shared" si="14"/>
        <v>3.1618124999999999E-4</v>
      </c>
      <c r="AV16" s="39">
        <f t="shared" si="14"/>
        <v>3.1618124999999999E-4</v>
      </c>
      <c r="AW16" s="39">
        <f t="shared" si="14"/>
        <v>3.1618124999999999E-4</v>
      </c>
      <c r="AX16" s="39">
        <f t="shared" si="14"/>
        <v>3.1618124999999999E-4</v>
      </c>
      <c r="AY16" s="27">
        <f t="shared" si="11"/>
        <v>3.794174999999999E-3</v>
      </c>
      <c r="AZ16" s="23"/>
    </row>
    <row r="17" spans="2:52" ht="16.899999999999999" customHeight="1" x14ac:dyDescent="0.25">
      <c r="B17" s="100" t="s">
        <v>207</v>
      </c>
      <c r="C17" s="72">
        <v>1</v>
      </c>
      <c r="D17" s="109"/>
      <c r="F17" s="100" t="s">
        <v>178</v>
      </c>
      <c r="G17" s="39">
        <f t="shared" ref="G17:R17" si="15">(($C$15*G14)*$C$16)*G13</f>
        <v>3.041666666666667E-5</v>
      </c>
      <c r="H17" s="39">
        <f t="shared" si="15"/>
        <v>3.041666666666667E-5</v>
      </c>
      <c r="I17" s="39">
        <f t="shared" si="15"/>
        <v>3.041666666666667E-5</v>
      </c>
      <c r="J17" s="39">
        <f t="shared" si="15"/>
        <v>3.041666666666667E-5</v>
      </c>
      <c r="K17" s="39">
        <f t="shared" si="15"/>
        <v>3.041666666666667E-5</v>
      </c>
      <c r="L17" s="39">
        <f t="shared" si="15"/>
        <v>3.041666666666667E-5</v>
      </c>
      <c r="M17" s="39">
        <f t="shared" si="15"/>
        <v>3.041666666666667E-5</v>
      </c>
      <c r="N17" s="39">
        <f t="shared" si="15"/>
        <v>3.041666666666667E-5</v>
      </c>
      <c r="O17" s="39">
        <f t="shared" si="15"/>
        <v>3.041666666666667E-5</v>
      </c>
      <c r="P17" s="39">
        <f t="shared" si="15"/>
        <v>3.041666666666667E-5</v>
      </c>
      <c r="Q17" s="39">
        <f t="shared" si="15"/>
        <v>3.041666666666667E-5</v>
      </c>
      <c r="R17" s="39">
        <f t="shared" si="15"/>
        <v>3.041666666666667E-5</v>
      </c>
      <c r="S17" s="27">
        <f t="shared" si="7"/>
        <v>3.6499999999999993E-4</v>
      </c>
      <c r="T17" s="110"/>
      <c r="U17"/>
      <c r="V17" s="100" t="s">
        <v>178</v>
      </c>
      <c r="W17" s="39">
        <f t="shared" ref="W17:AH17" si="16">((($C$15*W14)*$C$16)*W13)*$C$21</f>
        <v>1.3383333333333335E-4</v>
      </c>
      <c r="X17" s="39">
        <f t="shared" si="16"/>
        <v>1.3383333333333335E-4</v>
      </c>
      <c r="Y17" s="39">
        <f t="shared" si="16"/>
        <v>1.3383333333333335E-4</v>
      </c>
      <c r="Z17" s="39">
        <f t="shared" si="16"/>
        <v>1.3383333333333335E-4</v>
      </c>
      <c r="AA17" s="39">
        <f t="shared" si="16"/>
        <v>1.3383333333333335E-4</v>
      </c>
      <c r="AB17" s="39">
        <f t="shared" si="16"/>
        <v>1.3383333333333335E-4</v>
      </c>
      <c r="AC17" s="39">
        <f t="shared" si="16"/>
        <v>1.3383333333333335E-4</v>
      </c>
      <c r="AD17" s="39">
        <f t="shared" si="16"/>
        <v>1.3383333333333335E-4</v>
      </c>
      <c r="AE17" s="39">
        <f t="shared" si="16"/>
        <v>1.3383333333333335E-4</v>
      </c>
      <c r="AF17" s="39">
        <f t="shared" si="16"/>
        <v>1.3383333333333335E-4</v>
      </c>
      <c r="AG17" s="39">
        <f t="shared" si="16"/>
        <v>1.3383333333333335E-4</v>
      </c>
      <c r="AH17" s="39">
        <f t="shared" si="16"/>
        <v>1.3383333333333335E-4</v>
      </c>
      <c r="AI17" s="40">
        <f t="shared" si="9"/>
        <v>1.6060000000000007E-3</v>
      </c>
      <c r="AJ17" s="110"/>
      <c r="AK17"/>
      <c r="AL17" s="100" t="s">
        <v>178</v>
      </c>
      <c r="AM17" s="39">
        <f t="shared" ref="AM17:AX17" si="17">((($C$15*AM14)*$C$16)*AM13)*$C$21*$C$22</f>
        <v>3.1618124999999999E-4</v>
      </c>
      <c r="AN17" s="39">
        <f t="shared" si="17"/>
        <v>3.1618124999999999E-4</v>
      </c>
      <c r="AO17" s="39">
        <f t="shared" si="17"/>
        <v>3.1618124999999999E-4</v>
      </c>
      <c r="AP17" s="39">
        <f t="shared" si="17"/>
        <v>3.1618124999999999E-4</v>
      </c>
      <c r="AQ17" s="39">
        <f t="shared" si="17"/>
        <v>3.1618124999999999E-4</v>
      </c>
      <c r="AR17" s="39">
        <f t="shared" si="17"/>
        <v>3.1618124999999999E-4</v>
      </c>
      <c r="AS17" s="39">
        <f t="shared" si="17"/>
        <v>3.1618124999999999E-4</v>
      </c>
      <c r="AT17" s="39">
        <f t="shared" si="17"/>
        <v>3.1618124999999999E-4</v>
      </c>
      <c r="AU17" s="39">
        <f t="shared" si="17"/>
        <v>3.1618124999999999E-4</v>
      </c>
      <c r="AV17" s="39">
        <f t="shared" si="17"/>
        <v>3.1618124999999999E-4</v>
      </c>
      <c r="AW17" s="39">
        <f t="shared" si="17"/>
        <v>3.1618124999999999E-4</v>
      </c>
      <c r="AX17" s="39">
        <f t="shared" si="17"/>
        <v>3.1618124999999999E-4</v>
      </c>
      <c r="AY17" s="27">
        <f t="shared" si="11"/>
        <v>3.794174999999999E-3</v>
      </c>
      <c r="AZ17" s="110"/>
    </row>
    <row r="18" spans="2:52" ht="16.899999999999999" customHeight="1" x14ac:dyDescent="0.25">
      <c r="B18" s="100" t="s">
        <v>188</v>
      </c>
      <c r="C18" s="71">
        <v>0.01</v>
      </c>
      <c r="D18" s="101"/>
      <c r="F18" s="111" t="s">
        <v>187</v>
      </c>
      <c r="G18" s="39">
        <f t="shared" ref="G18:R18" si="18">G14*$C$18*$C$19</f>
        <v>3.0416666666666669E-3</v>
      </c>
      <c r="H18" s="39">
        <f t="shared" si="18"/>
        <v>3.0416666666666669E-3</v>
      </c>
      <c r="I18" s="39">
        <f t="shared" si="18"/>
        <v>3.0416666666666669E-3</v>
      </c>
      <c r="J18" s="39">
        <f t="shared" si="18"/>
        <v>3.0416666666666669E-3</v>
      </c>
      <c r="K18" s="39">
        <f t="shared" si="18"/>
        <v>3.0416666666666669E-3</v>
      </c>
      <c r="L18" s="39">
        <f t="shared" si="18"/>
        <v>3.0416666666666669E-3</v>
      </c>
      <c r="M18" s="39">
        <f t="shared" si="18"/>
        <v>3.0416666666666669E-3</v>
      </c>
      <c r="N18" s="39">
        <f t="shared" si="18"/>
        <v>3.0416666666666669E-3</v>
      </c>
      <c r="O18" s="39">
        <f t="shared" si="18"/>
        <v>3.0416666666666669E-3</v>
      </c>
      <c r="P18" s="39">
        <f t="shared" si="18"/>
        <v>3.0416666666666669E-3</v>
      </c>
      <c r="Q18" s="39">
        <f t="shared" si="18"/>
        <v>3.0416666666666669E-3</v>
      </c>
      <c r="R18" s="39">
        <f t="shared" si="18"/>
        <v>3.0416666666666669E-3</v>
      </c>
      <c r="S18" s="27">
        <f t="shared" si="7"/>
        <v>3.6500000000000005E-2</v>
      </c>
      <c r="T18" s="110"/>
      <c r="U18"/>
      <c r="V18" s="111" t="s">
        <v>187</v>
      </c>
      <c r="W18" s="39">
        <f t="shared" ref="W18:AH18" si="19">W14*$C$18*$C$19</f>
        <v>6.0833333333333338E-3</v>
      </c>
      <c r="X18" s="39">
        <f t="shared" si="19"/>
        <v>6.0833333333333338E-3</v>
      </c>
      <c r="Y18" s="39">
        <f t="shared" si="19"/>
        <v>6.0833333333333338E-3</v>
      </c>
      <c r="Z18" s="39">
        <f t="shared" si="19"/>
        <v>6.0833333333333338E-3</v>
      </c>
      <c r="AA18" s="39">
        <f t="shared" si="19"/>
        <v>6.0833333333333338E-3</v>
      </c>
      <c r="AB18" s="39">
        <f t="shared" si="19"/>
        <v>6.0833333333333338E-3</v>
      </c>
      <c r="AC18" s="39">
        <f t="shared" si="19"/>
        <v>6.0833333333333338E-3</v>
      </c>
      <c r="AD18" s="39">
        <f t="shared" si="19"/>
        <v>6.0833333333333338E-3</v>
      </c>
      <c r="AE18" s="39">
        <f t="shared" si="19"/>
        <v>6.0833333333333338E-3</v>
      </c>
      <c r="AF18" s="39">
        <f t="shared" si="19"/>
        <v>6.0833333333333338E-3</v>
      </c>
      <c r="AG18" s="39">
        <f t="shared" si="19"/>
        <v>6.0833333333333338E-3</v>
      </c>
      <c r="AH18" s="39">
        <f t="shared" si="19"/>
        <v>6.0833333333333338E-3</v>
      </c>
      <c r="AI18" s="27">
        <f t="shared" ref="AI18" si="20">SUM(W18:AH18)</f>
        <v>7.3000000000000009E-2</v>
      </c>
      <c r="AJ18" s="110"/>
      <c r="AK18"/>
      <c r="AL18" s="111" t="s">
        <v>187</v>
      </c>
      <c r="AM18" s="39">
        <f t="shared" ref="AM18:AX18" si="21">AM14*$C$18*$C$19</f>
        <v>9.1249999999999994E-3</v>
      </c>
      <c r="AN18" s="39">
        <f t="shared" si="21"/>
        <v>9.1249999999999994E-3</v>
      </c>
      <c r="AO18" s="39">
        <f t="shared" si="21"/>
        <v>9.1249999999999994E-3</v>
      </c>
      <c r="AP18" s="39">
        <f t="shared" si="21"/>
        <v>9.1249999999999994E-3</v>
      </c>
      <c r="AQ18" s="39">
        <f t="shared" si="21"/>
        <v>9.1249999999999994E-3</v>
      </c>
      <c r="AR18" s="39">
        <f t="shared" si="21"/>
        <v>9.1249999999999994E-3</v>
      </c>
      <c r="AS18" s="39">
        <f t="shared" si="21"/>
        <v>9.1249999999999994E-3</v>
      </c>
      <c r="AT18" s="39">
        <f t="shared" si="21"/>
        <v>9.1249999999999994E-3</v>
      </c>
      <c r="AU18" s="39">
        <f t="shared" si="21"/>
        <v>9.1249999999999994E-3</v>
      </c>
      <c r="AV18" s="39">
        <f t="shared" si="21"/>
        <v>9.1249999999999994E-3</v>
      </c>
      <c r="AW18" s="39">
        <f t="shared" si="21"/>
        <v>9.1249999999999994E-3</v>
      </c>
      <c r="AX18" s="39">
        <f t="shared" si="21"/>
        <v>9.1249999999999994E-3</v>
      </c>
      <c r="AY18" s="27">
        <f t="shared" si="11"/>
        <v>0.10949999999999997</v>
      </c>
      <c r="AZ18" s="110"/>
    </row>
    <row r="19" spans="2:52" ht="16.899999999999999" customHeight="1" x14ac:dyDescent="0.25">
      <c r="B19" s="100" t="s">
        <v>186</v>
      </c>
      <c r="C19" s="70">
        <v>1</v>
      </c>
      <c r="D19" s="101"/>
      <c r="F19" s="112" t="s">
        <v>185</v>
      </c>
      <c r="G19" s="36">
        <f t="shared" ref="G19:R19" si="22">G17*$C$20</f>
        <v>4.5625000000000003E-7</v>
      </c>
      <c r="H19" s="36">
        <f t="shared" si="22"/>
        <v>4.5625000000000003E-7</v>
      </c>
      <c r="I19" s="36">
        <f t="shared" si="22"/>
        <v>4.5625000000000003E-7</v>
      </c>
      <c r="J19" s="36">
        <f t="shared" si="22"/>
        <v>4.5625000000000003E-7</v>
      </c>
      <c r="K19" s="36">
        <f t="shared" si="22"/>
        <v>4.5625000000000003E-7</v>
      </c>
      <c r="L19" s="36">
        <f t="shared" si="22"/>
        <v>4.5625000000000003E-7</v>
      </c>
      <c r="M19" s="36">
        <f t="shared" si="22"/>
        <v>4.5625000000000003E-7</v>
      </c>
      <c r="N19" s="36">
        <f t="shared" si="22"/>
        <v>4.5625000000000003E-7</v>
      </c>
      <c r="O19" s="36">
        <f t="shared" si="22"/>
        <v>4.5625000000000003E-7</v>
      </c>
      <c r="P19" s="36">
        <f t="shared" si="22"/>
        <v>4.5625000000000003E-7</v>
      </c>
      <c r="Q19" s="36">
        <f t="shared" si="22"/>
        <v>4.5625000000000003E-7</v>
      </c>
      <c r="R19" s="36">
        <f t="shared" si="22"/>
        <v>4.5625000000000003E-7</v>
      </c>
      <c r="S19" s="37">
        <f t="shared" si="1"/>
        <v>5.4750000000000001E-6</v>
      </c>
      <c r="T19" s="23"/>
      <c r="V19" s="112" t="s">
        <v>185</v>
      </c>
      <c r="W19" s="36">
        <f t="shared" ref="W19:AH19" si="23">W17*$C$20</f>
        <v>2.0075000000000003E-6</v>
      </c>
      <c r="X19" s="36">
        <f t="shared" si="23"/>
        <v>2.0075000000000003E-6</v>
      </c>
      <c r="Y19" s="36">
        <f t="shared" si="23"/>
        <v>2.0075000000000003E-6</v>
      </c>
      <c r="Z19" s="36">
        <f t="shared" si="23"/>
        <v>2.0075000000000003E-6</v>
      </c>
      <c r="AA19" s="36">
        <f t="shared" si="23"/>
        <v>2.0075000000000003E-6</v>
      </c>
      <c r="AB19" s="36">
        <f t="shared" si="23"/>
        <v>2.0075000000000003E-6</v>
      </c>
      <c r="AC19" s="36">
        <f t="shared" si="23"/>
        <v>2.0075000000000003E-6</v>
      </c>
      <c r="AD19" s="36">
        <f t="shared" si="23"/>
        <v>2.0075000000000003E-6</v>
      </c>
      <c r="AE19" s="36">
        <f t="shared" si="23"/>
        <v>2.0075000000000003E-6</v>
      </c>
      <c r="AF19" s="36">
        <f t="shared" si="23"/>
        <v>2.0075000000000003E-6</v>
      </c>
      <c r="AG19" s="36">
        <f t="shared" si="23"/>
        <v>2.0075000000000003E-6</v>
      </c>
      <c r="AH19" s="36">
        <f t="shared" si="23"/>
        <v>2.0075000000000003E-6</v>
      </c>
      <c r="AI19" s="37">
        <f t="shared" ref="AI19:AI21" si="24">SUM(W19:AH19)</f>
        <v>2.4090000000000005E-5</v>
      </c>
      <c r="AJ19" s="23"/>
      <c r="AL19" s="112" t="s">
        <v>185</v>
      </c>
      <c r="AM19" s="36">
        <f t="shared" ref="AM19:AX19" si="25">AM17*$C$20</f>
        <v>4.74271875E-6</v>
      </c>
      <c r="AN19" s="36">
        <f t="shared" si="25"/>
        <v>4.74271875E-6</v>
      </c>
      <c r="AO19" s="36">
        <f t="shared" si="25"/>
        <v>4.74271875E-6</v>
      </c>
      <c r="AP19" s="36">
        <f t="shared" si="25"/>
        <v>4.74271875E-6</v>
      </c>
      <c r="AQ19" s="36">
        <f t="shared" si="25"/>
        <v>4.74271875E-6</v>
      </c>
      <c r="AR19" s="36">
        <f t="shared" si="25"/>
        <v>4.74271875E-6</v>
      </c>
      <c r="AS19" s="36">
        <f t="shared" si="25"/>
        <v>4.74271875E-6</v>
      </c>
      <c r="AT19" s="36">
        <f t="shared" si="25"/>
        <v>4.74271875E-6</v>
      </c>
      <c r="AU19" s="36">
        <f t="shared" si="25"/>
        <v>4.74271875E-6</v>
      </c>
      <c r="AV19" s="36">
        <f t="shared" si="25"/>
        <v>4.74271875E-6</v>
      </c>
      <c r="AW19" s="36">
        <f t="shared" si="25"/>
        <v>4.74271875E-6</v>
      </c>
      <c r="AX19" s="36">
        <f t="shared" si="25"/>
        <v>4.74271875E-6</v>
      </c>
      <c r="AY19" s="37">
        <f t="shared" ref="AY19:AY21" si="26">SUM(AM19:AX19)</f>
        <v>5.6912624999999989E-5</v>
      </c>
      <c r="AZ19" s="23"/>
    </row>
    <row r="20" spans="2:52" ht="16.899999999999999" customHeight="1" x14ac:dyDescent="0.25">
      <c r="B20" s="113" t="s">
        <v>184</v>
      </c>
      <c r="C20" s="73">
        <v>1.4999999999999999E-2</v>
      </c>
      <c r="D20" s="101" t="s">
        <v>183</v>
      </c>
      <c r="F20" s="26" t="s">
        <v>116</v>
      </c>
      <c r="G20" s="38">
        <f t="shared" ref="G20:R20" si="27">SUM(G15:G18)</f>
        <v>3.0031025000000002</v>
      </c>
      <c r="H20" s="38">
        <f t="shared" si="27"/>
        <v>3.0031025000000002</v>
      </c>
      <c r="I20" s="38">
        <f t="shared" si="27"/>
        <v>3.0031025000000002</v>
      </c>
      <c r="J20" s="38">
        <f t="shared" si="27"/>
        <v>3.0031025000000002</v>
      </c>
      <c r="K20" s="38">
        <f t="shared" si="27"/>
        <v>3.0031025000000002</v>
      </c>
      <c r="L20" s="38">
        <f t="shared" si="27"/>
        <v>3.0031025000000002</v>
      </c>
      <c r="M20" s="38">
        <f t="shared" si="27"/>
        <v>3.0031025000000002</v>
      </c>
      <c r="N20" s="38">
        <f t="shared" si="27"/>
        <v>3.0031025000000002</v>
      </c>
      <c r="O20" s="38">
        <f t="shared" si="27"/>
        <v>3.0031025000000002</v>
      </c>
      <c r="P20" s="38">
        <f t="shared" si="27"/>
        <v>3.0031025000000002</v>
      </c>
      <c r="Q20" s="38">
        <f t="shared" si="27"/>
        <v>3.0031025000000002</v>
      </c>
      <c r="R20" s="38">
        <f t="shared" si="27"/>
        <v>3.0031025000000002</v>
      </c>
      <c r="S20" s="42">
        <f t="shared" si="1"/>
        <v>36.037230000000001</v>
      </c>
      <c r="T20" s="23"/>
      <c r="V20" s="26" t="s">
        <v>116</v>
      </c>
      <c r="W20" s="38">
        <f t="shared" ref="W20:AH20" si="28">SUM(W15:W18)</f>
        <v>6.6063510000000001</v>
      </c>
      <c r="X20" s="38">
        <f t="shared" si="28"/>
        <v>6.6063510000000001</v>
      </c>
      <c r="Y20" s="38">
        <f t="shared" si="28"/>
        <v>6.6063510000000001</v>
      </c>
      <c r="Z20" s="38">
        <f t="shared" si="28"/>
        <v>6.6063510000000001</v>
      </c>
      <c r="AA20" s="38">
        <f t="shared" si="28"/>
        <v>6.6063510000000001</v>
      </c>
      <c r="AB20" s="38">
        <f t="shared" si="28"/>
        <v>6.6063510000000001</v>
      </c>
      <c r="AC20" s="38">
        <f t="shared" si="28"/>
        <v>6.6063510000000001</v>
      </c>
      <c r="AD20" s="38">
        <f t="shared" si="28"/>
        <v>6.6063510000000001</v>
      </c>
      <c r="AE20" s="38">
        <f t="shared" si="28"/>
        <v>6.6063510000000001</v>
      </c>
      <c r="AF20" s="38">
        <f t="shared" si="28"/>
        <v>6.6063510000000001</v>
      </c>
      <c r="AG20" s="38">
        <f t="shared" si="28"/>
        <v>6.6063510000000001</v>
      </c>
      <c r="AH20" s="38">
        <f t="shared" si="28"/>
        <v>6.6063510000000001</v>
      </c>
      <c r="AI20" s="42">
        <f t="shared" si="24"/>
        <v>79.276212000000029</v>
      </c>
      <c r="AJ20" s="23"/>
      <c r="AL20" s="26" t="s">
        <v>116</v>
      </c>
      <c r="AM20" s="38">
        <f t="shared" ref="AM20:AX20" si="29">SUM(AM15:AM18)</f>
        <v>10.4047573625</v>
      </c>
      <c r="AN20" s="38">
        <f t="shared" si="29"/>
        <v>10.4047573625</v>
      </c>
      <c r="AO20" s="38">
        <f t="shared" si="29"/>
        <v>10.4047573625</v>
      </c>
      <c r="AP20" s="38">
        <f t="shared" si="29"/>
        <v>10.4047573625</v>
      </c>
      <c r="AQ20" s="38">
        <f t="shared" si="29"/>
        <v>10.4047573625</v>
      </c>
      <c r="AR20" s="38">
        <f t="shared" si="29"/>
        <v>10.4047573625</v>
      </c>
      <c r="AS20" s="38">
        <f t="shared" si="29"/>
        <v>10.4047573625</v>
      </c>
      <c r="AT20" s="38">
        <f t="shared" si="29"/>
        <v>10.4047573625</v>
      </c>
      <c r="AU20" s="38">
        <f t="shared" si="29"/>
        <v>10.4047573625</v>
      </c>
      <c r="AV20" s="38">
        <f t="shared" si="29"/>
        <v>10.4047573625</v>
      </c>
      <c r="AW20" s="38">
        <f t="shared" si="29"/>
        <v>10.4047573625</v>
      </c>
      <c r="AX20" s="38">
        <f t="shared" si="29"/>
        <v>10.4047573625</v>
      </c>
      <c r="AY20" s="42">
        <f t="shared" si="26"/>
        <v>124.85708834999997</v>
      </c>
      <c r="AZ20" s="23"/>
    </row>
    <row r="21" spans="2:52" ht="16.899999999999999" customHeight="1" x14ac:dyDescent="0.25">
      <c r="B21" s="100" t="s">
        <v>208</v>
      </c>
      <c r="C21" s="71">
        <v>1.1000000000000001</v>
      </c>
      <c r="D21" s="101"/>
      <c r="F21" s="43" t="s">
        <v>2</v>
      </c>
      <c r="G21" s="44">
        <f>(G20-G19)</f>
        <v>3.0031020437500002</v>
      </c>
      <c r="H21" s="44">
        <f t="shared" ref="H21:R21" si="30">(H20-H19)</f>
        <v>3.0031020437500002</v>
      </c>
      <c r="I21" s="44">
        <f t="shared" si="30"/>
        <v>3.0031020437500002</v>
      </c>
      <c r="J21" s="44">
        <f t="shared" si="30"/>
        <v>3.0031020437500002</v>
      </c>
      <c r="K21" s="44">
        <f t="shared" si="30"/>
        <v>3.0031020437500002</v>
      </c>
      <c r="L21" s="44">
        <f t="shared" si="30"/>
        <v>3.0031020437500002</v>
      </c>
      <c r="M21" s="44">
        <f t="shared" si="30"/>
        <v>3.0031020437500002</v>
      </c>
      <c r="N21" s="44">
        <f t="shared" si="30"/>
        <v>3.0031020437500002</v>
      </c>
      <c r="O21" s="44">
        <f t="shared" si="30"/>
        <v>3.0031020437500002</v>
      </c>
      <c r="P21" s="44">
        <f t="shared" si="30"/>
        <v>3.0031020437500002</v>
      </c>
      <c r="Q21" s="44">
        <f t="shared" si="30"/>
        <v>3.0031020437500002</v>
      </c>
      <c r="R21" s="44">
        <f t="shared" si="30"/>
        <v>3.0031020437500002</v>
      </c>
      <c r="S21" s="42">
        <f t="shared" si="1"/>
        <v>36.037224525000006</v>
      </c>
      <c r="T21" s="45"/>
      <c r="U21" s="3"/>
      <c r="V21" s="43" t="s">
        <v>2</v>
      </c>
      <c r="W21" s="44">
        <f>(W20-W19)</f>
        <v>6.6063489925000001</v>
      </c>
      <c r="X21" s="44">
        <f t="shared" ref="X21" si="31">(X20-X19)</f>
        <v>6.6063489925000001</v>
      </c>
      <c r="Y21" s="44">
        <f t="shared" ref="Y21" si="32">(Y20-Y19)</f>
        <v>6.6063489925000001</v>
      </c>
      <c r="Z21" s="44">
        <f t="shared" ref="Z21" si="33">(Z20-Z19)</f>
        <v>6.6063489925000001</v>
      </c>
      <c r="AA21" s="44">
        <f t="shared" ref="AA21" si="34">(AA20-AA19)</f>
        <v>6.6063489925000001</v>
      </c>
      <c r="AB21" s="44">
        <f t="shared" ref="AB21" si="35">(AB20-AB19)</f>
        <v>6.6063489925000001</v>
      </c>
      <c r="AC21" s="44">
        <f t="shared" ref="AC21" si="36">(AC20-AC19)</f>
        <v>6.6063489925000001</v>
      </c>
      <c r="AD21" s="44">
        <f t="shared" ref="AD21" si="37">(AD20-AD19)</f>
        <v>6.6063489925000001</v>
      </c>
      <c r="AE21" s="44">
        <f t="shared" ref="AE21" si="38">(AE20-AE19)</f>
        <v>6.6063489925000001</v>
      </c>
      <c r="AF21" s="44">
        <f t="shared" ref="AF21" si="39">(AF20-AF19)</f>
        <v>6.6063489925000001</v>
      </c>
      <c r="AG21" s="44">
        <f t="shared" ref="AG21" si="40">(AG20-AG19)</f>
        <v>6.6063489925000001</v>
      </c>
      <c r="AH21" s="44">
        <f t="shared" ref="AH21" si="41">(AH20-AH19)</f>
        <v>6.6063489925000001</v>
      </c>
      <c r="AI21" s="42">
        <f t="shared" si="24"/>
        <v>79.276187910000019</v>
      </c>
      <c r="AJ21" s="45"/>
      <c r="AK21" s="3"/>
      <c r="AL21" s="43" t="s">
        <v>2</v>
      </c>
      <c r="AM21" s="44">
        <f>(AM20-AM19)</f>
        <v>10.404752619781251</v>
      </c>
      <c r="AN21" s="44">
        <f t="shared" ref="AN21" si="42">(AN20-AN19)</f>
        <v>10.404752619781251</v>
      </c>
      <c r="AO21" s="44">
        <f t="shared" ref="AO21" si="43">(AO20-AO19)</f>
        <v>10.404752619781251</v>
      </c>
      <c r="AP21" s="44">
        <f t="shared" ref="AP21" si="44">(AP20-AP19)</f>
        <v>10.404752619781251</v>
      </c>
      <c r="AQ21" s="44">
        <f t="shared" ref="AQ21" si="45">(AQ20-AQ19)</f>
        <v>10.404752619781251</v>
      </c>
      <c r="AR21" s="44">
        <f t="shared" ref="AR21" si="46">(AR20-AR19)</f>
        <v>10.404752619781251</v>
      </c>
      <c r="AS21" s="44">
        <f t="shared" ref="AS21" si="47">(AS20-AS19)</f>
        <v>10.404752619781251</v>
      </c>
      <c r="AT21" s="44">
        <f t="shared" ref="AT21" si="48">(AT20-AT19)</f>
        <v>10.404752619781251</v>
      </c>
      <c r="AU21" s="44">
        <f t="shared" ref="AU21" si="49">(AU20-AU19)</f>
        <v>10.404752619781251</v>
      </c>
      <c r="AV21" s="44">
        <f t="shared" ref="AV21" si="50">(AV20-AV19)</f>
        <v>10.404752619781251</v>
      </c>
      <c r="AW21" s="44">
        <f t="shared" ref="AW21" si="51">(AW20-AW19)</f>
        <v>10.404752619781251</v>
      </c>
      <c r="AX21" s="44">
        <f t="shared" ref="AX21" si="52">(AX20-AX19)</f>
        <v>10.404752619781251</v>
      </c>
      <c r="AY21" s="42">
        <f t="shared" si="26"/>
        <v>124.857031437375</v>
      </c>
      <c r="AZ21" s="45"/>
    </row>
    <row r="22" spans="2:52" ht="16.899999999999999" customHeight="1" x14ac:dyDescent="0.25">
      <c r="B22" s="100" t="s">
        <v>209</v>
      </c>
      <c r="C22" s="71">
        <v>1.05</v>
      </c>
      <c r="D22" s="101"/>
      <c r="F22" s="114" t="s">
        <v>35</v>
      </c>
      <c r="G22" s="115"/>
      <c r="H22" s="116"/>
      <c r="I22" s="116"/>
      <c r="J22" s="116"/>
      <c r="K22" s="116"/>
      <c r="L22" s="116"/>
      <c r="M22" s="116"/>
      <c r="N22" s="116"/>
      <c r="O22" s="116"/>
      <c r="P22" s="116"/>
      <c r="Q22" s="116"/>
      <c r="R22" s="116"/>
      <c r="S22" s="116"/>
      <c r="T22" s="23"/>
      <c r="V22" s="114" t="s">
        <v>35</v>
      </c>
      <c r="W22" s="115"/>
      <c r="X22" s="116"/>
      <c r="Y22" s="116"/>
      <c r="Z22" s="116"/>
      <c r="AA22" s="116"/>
      <c r="AB22" s="116"/>
      <c r="AC22" s="116"/>
      <c r="AD22" s="116"/>
      <c r="AE22" s="116"/>
      <c r="AF22" s="116"/>
      <c r="AG22" s="116"/>
      <c r="AH22" s="116"/>
      <c r="AI22" s="116"/>
      <c r="AJ22" s="23"/>
      <c r="AL22" s="114" t="s">
        <v>35</v>
      </c>
      <c r="AM22" s="115"/>
      <c r="AN22" s="116"/>
      <c r="AO22" s="116"/>
      <c r="AP22" s="116"/>
      <c r="AQ22" s="116"/>
      <c r="AR22" s="116"/>
      <c r="AS22" s="116"/>
      <c r="AT22" s="116"/>
      <c r="AU22" s="116"/>
      <c r="AV22" s="116"/>
      <c r="AW22" s="116"/>
      <c r="AX22" s="116"/>
      <c r="AY22" s="116"/>
      <c r="AZ22" s="23"/>
    </row>
    <row r="23" spans="2:52" ht="16.899999999999999" customHeight="1" x14ac:dyDescent="0.25">
      <c r="B23" s="117"/>
      <c r="C23" s="16"/>
      <c r="D23" s="1"/>
      <c r="F23" s="118" t="s">
        <v>130</v>
      </c>
      <c r="G23" s="39">
        <f t="shared" ref="G23:R23" si="53">$C$40</f>
        <v>100</v>
      </c>
      <c r="H23" s="39">
        <f t="shared" si="53"/>
        <v>100</v>
      </c>
      <c r="I23" s="39">
        <f t="shared" si="53"/>
        <v>100</v>
      </c>
      <c r="J23" s="39">
        <f t="shared" si="53"/>
        <v>100</v>
      </c>
      <c r="K23" s="39">
        <f t="shared" si="53"/>
        <v>100</v>
      </c>
      <c r="L23" s="39">
        <f t="shared" si="53"/>
        <v>100</v>
      </c>
      <c r="M23" s="39">
        <f t="shared" si="53"/>
        <v>100</v>
      </c>
      <c r="N23" s="39">
        <f t="shared" si="53"/>
        <v>100</v>
      </c>
      <c r="O23" s="39">
        <f t="shared" si="53"/>
        <v>100</v>
      </c>
      <c r="P23" s="39">
        <f t="shared" si="53"/>
        <v>100</v>
      </c>
      <c r="Q23" s="39">
        <f t="shared" si="53"/>
        <v>100</v>
      </c>
      <c r="R23" s="39">
        <f t="shared" si="53"/>
        <v>100</v>
      </c>
      <c r="S23" s="28">
        <f t="shared" si="1"/>
        <v>1200</v>
      </c>
      <c r="T23" s="23">
        <f t="shared" ref="T23:T34" si="54">S23/$S$35</f>
        <v>0.10827683666110266</v>
      </c>
      <c r="V23" s="118" t="s">
        <v>130</v>
      </c>
      <c r="W23" s="8">
        <f>$AI$23/12</f>
        <v>103</v>
      </c>
      <c r="X23" s="8">
        <f t="shared" ref="X23:AH23" si="55">$AI$23/12</f>
        <v>103</v>
      </c>
      <c r="Y23" s="8">
        <f t="shared" si="55"/>
        <v>103</v>
      </c>
      <c r="Z23" s="8">
        <f t="shared" si="55"/>
        <v>103</v>
      </c>
      <c r="AA23" s="8">
        <f t="shared" si="55"/>
        <v>103</v>
      </c>
      <c r="AB23" s="8">
        <f t="shared" si="55"/>
        <v>103</v>
      </c>
      <c r="AC23" s="8">
        <f t="shared" si="55"/>
        <v>103</v>
      </c>
      <c r="AD23" s="8">
        <f t="shared" si="55"/>
        <v>103</v>
      </c>
      <c r="AE23" s="8">
        <f t="shared" si="55"/>
        <v>103</v>
      </c>
      <c r="AF23" s="8">
        <f t="shared" si="55"/>
        <v>103</v>
      </c>
      <c r="AG23" s="8">
        <f t="shared" si="55"/>
        <v>103</v>
      </c>
      <c r="AH23" s="8">
        <f t="shared" si="55"/>
        <v>103</v>
      </c>
      <c r="AI23" s="29">
        <f>S23*$C$54</f>
        <v>1236</v>
      </c>
      <c r="AJ23" s="23">
        <f t="shared" ref="AJ23:AJ34" si="56">AI23/$AI$35</f>
        <v>0.10824685385719887</v>
      </c>
      <c r="AL23" s="118" t="s">
        <v>130</v>
      </c>
      <c r="AM23" s="8">
        <f>$AY$23/12</f>
        <v>106.08999999999999</v>
      </c>
      <c r="AN23" s="8">
        <f>$AY$23/12</f>
        <v>106.08999999999999</v>
      </c>
      <c r="AO23" s="8">
        <f t="shared" ref="AO23:AX23" si="57">$AY$23/12</f>
        <v>106.08999999999999</v>
      </c>
      <c r="AP23" s="8">
        <f t="shared" si="57"/>
        <v>106.08999999999999</v>
      </c>
      <c r="AQ23" s="8">
        <f t="shared" si="57"/>
        <v>106.08999999999999</v>
      </c>
      <c r="AR23" s="8">
        <f t="shared" si="57"/>
        <v>106.08999999999999</v>
      </c>
      <c r="AS23" s="8">
        <f t="shared" si="57"/>
        <v>106.08999999999999</v>
      </c>
      <c r="AT23" s="8">
        <f t="shared" si="57"/>
        <v>106.08999999999999</v>
      </c>
      <c r="AU23" s="8">
        <f t="shared" si="57"/>
        <v>106.08999999999999</v>
      </c>
      <c r="AV23" s="8">
        <f t="shared" si="57"/>
        <v>106.08999999999999</v>
      </c>
      <c r="AW23" s="8">
        <f t="shared" si="57"/>
        <v>106.08999999999999</v>
      </c>
      <c r="AX23" s="8">
        <f t="shared" si="57"/>
        <v>106.08999999999999</v>
      </c>
      <c r="AY23" s="28">
        <f>AI23*$C$55</f>
        <v>1273.08</v>
      </c>
      <c r="AZ23" s="23">
        <f t="shared" ref="AZ23:AZ34" si="58">AY23/$AY$35</f>
        <v>0.10821703944286609</v>
      </c>
    </row>
    <row r="24" spans="2:52" ht="16.899999999999999" customHeight="1" x14ac:dyDescent="0.25">
      <c r="B24" s="3" t="s">
        <v>56</v>
      </c>
      <c r="D24" s="1"/>
      <c r="F24" s="25" t="s">
        <v>9</v>
      </c>
      <c r="G24" s="9">
        <f>$C$41</f>
        <v>100</v>
      </c>
      <c r="H24" s="9">
        <f>$C$41</f>
        <v>100</v>
      </c>
      <c r="I24" s="9">
        <f>$C$41</f>
        <v>100</v>
      </c>
      <c r="J24" s="9">
        <f t="shared" ref="J24:R24" si="59">$C$42</f>
        <v>100</v>
      </c>
      <c r="K24" s="9">
        <f t="shared" si="59"/>
        <v>100</v>
      </c>
      <c r="L24" s="9">
        <f t="shared" si="59"/>
        <v>100</v>
      </c>
      <c r="M24" s="9">
        <f t="shared" si="59"/>
        <v>100</v>
      </c>
      <c r="N24" s="9">
        <f t="shared" si="59"/>
        <v>100</v>
      </c>
      <c r="O24" s="9">
        <f t="shared" si="59"/>
        <v>100</v>
      </c>
      <c r="P24" s="9">
        <f t="shared" si="59"/>
        <v>100</v>
      </c>
      <c r="Q24" s="9">
        <f t="shared" si="59"/>
        <v>100</v>
      </c>
      <c r="R24" s="9">
        <f t="shared" si="59"/>
        <v>100</v>
      </c>
      <c r="S24" s="29">
        <f t="shared" si="1"/>
        <v>1200</v>
      </c>
      <c r="T24" s="23">
        <f t="shared" si="54"/>
        <v>0.10827683666110266</v>
      </c>
      <c r="V24" s="25" t="s">
        <v>9</v>
      </c>
      <c r="W24" s="8">
        <f>$AI$24/12</f>
        <v>103</v>
      </c>
      <c r="X24" s="8">
        <f t="shared" ref="X24:AH24" si="60">$AI$24/12</f>
        <v>103</v>
      </c>
      <c r="Y24" s="8">
        <f t="shared" si="60"/>
        <v>103</v>
      </c>
      <c r="Z24" s="8">
        <f t="shared" si="60"/>
        <v>103</v>
      </c>
      <c r="AA24" s="8">
        <f t="shared" si="60"/>
        <v>103</v>
      </c>
      <c r="AB24" s="8">
        <f t="shared" si="60"/>
        <v>103</v>
      </c>
      <c r="AC24" s="8">
        <f t="shared" si="60"/>
        <v>103</v>
      </c>
      <c r="AD24" s="8">
        <f t="shared" si="60"/>
        <v>103</v>
      </c>
      <c r="AE24" s="8">
        <f t="shared" si="60"/>
        <v>103</v>
      </c>
      <c r="AF24" s="8">
        <f t="shared" si="60"/>
        <v>103</v>
      </c>
      <c r="AG24" s="8">
        <f t="shared" si="60"/>
        <v>103</v>
      </c>
      <c r="AH24" s="8">
        <f t="shared" si="60"/>
        <v>103</v>
      </c>
      <c r="AI24" s="29">
        <f>S24*$C$54</f>
        <v>1236</v>
      </c>
      <c r="AJ24" s="23">
        <f t="shared" si="56"/>
        <v>0.10824685385719887</v>
      </c>
      <c r="AL24" s="25" t="s">
        <v>9</v>
      </c>
      <c r="AM24" s="8">
        <f>$AY$24/12</f>
        <v>106.08999999999999</v>
      </c>
      <c r="AN24" s="8">
        <f>$AY$24/12</f>
        <v>106.08999999999999</v>
      </c>
      <c r="AO24" s="8">
        <f t="shared" ref="AO24:AX24" si="61">$AY$24/12</f>
        <v>106.08999999999999</v>
      </c>
      <c r="AP24" s="8">
        <f t="shared" si="61"/>
        <v>106.08999999999999</v>
      </c>
      <c r="AQ24" s="8">
        <f t="shared" si="61"/>
        <v>106.08999999999999</v>
      </c>
      <c r="AR24" s="8">
        <f t="shared" si="61"/>
        <v>106.08999999999999</v>
      </c>
      <c r="AS24" s="8">
        <f t="shared" si="61"/>
        <v>106.08999999999999</v>
      </c>
      <c r="AT24" s="8">
        <f t="shared" si="61"/>
        <v>106.08999999999999</v>
      </c>
      <c r="AU24" s="8">
        <f t="shared" si="61"/>
        <v>106.08999999999999</v>
      </c>
      <c r="AV24" s="8">
        <f t="shared" si="61"/>
        <v>106.08999999999999</v>
      </c>
      <c r="AW24" s="8">
        <f t="shared" si="61"/>
        <v>106.08999999999999</v>
      </c>
      <c r="AX24" s="8">
        <f t="shared" si="61"/>
        <v>106.08999999999999</v>
      </c>
      <c r="AY24" s="28">
        <f>AI24*$C$55</f>
        <v>1273.08</v>
      </c>
      <c r="AZ24" s="23">
        <f t="shared" si="58"/>
        <v>0.10821703944286609</v>
      </c>
    </row>
    <row r="25" spans="2:52" ht="16.899999999999999" customHeight="1" x14ac:dyDescent="0.25">
      <c r="B25" s="6" t="s">
        <v>73</v>
      </c>
      <c r="C25" s="74">
        <v>0.2</v>
      </c>
      <c r="D25" s="101" t="s">
        <v>201</v>
      </c>
      <c r="F25" s="25" t="s">
        <v>25</v>
      </c>
      <c r="G25" s="9">
        <f t="shared" ref="G25:R25" si="62">$C$43*(G23+G24)</f>
        <v>40</v>
      </c>
      <c r="H25" s="9">
        <f t="shared" si="62"/>
        <v>40</v>
      </c>
      <c r="I25" s="9">
        <f t="shared" si="62"/>
        <v>40</v>
      </c>
      <c r="J25" s="9">
        <f t="shared" si="62"/>
        <v>40</v>
      </c>
      <c r="K25" s="9">
        <f t="shared" si="62"/>
        <v>40</v>
      </c>
      <c r="L25" s="9">
        <f t="shared" si="62"/>
        <v>40</v>
      </c>
      <c r="M25" s="9">
        <f t="shared" si="62"/>
        <v>40</v>
      </c>
      <c r="N25" s="9">
        <f t="shared" si="62"/>
        <v>40</v>
      </c>
      <c r="O25" s="9">
        <f t="shared" si="62"/>
        <v>40</v>
      </c>
      <c r="P25" s="9">
        <f t="shared" si="62"/>
        <v>40</v>
      </c>
      <c r="Q25" s="9">
        <f t="shared" si="62"/>
        <v>40</v>
      </c>
      <c r="R25" s="9">
        <f t="shared" si="62"/>
        <v>40</v>
      </c>
      <c r="S25" s="29">
        <f t="shared" si="1"/>
        <v>480</v>
      </c>
      <c r="T25" s="23">
        <f t="shared" si="54"/>
        <v>4.3310734664441061E-2</v>
      </c>
      <c r="V25" s="25" t="s">
        <v>25</v>
      </c>
      <c r="W25" s="8">
        <f>$AI$25/12</f>
        <v>41.2</v>
      </c>
      <c r="X25" s="8">
        <f t="shared" ref="X25:AH25" si="63">$AI$25/12</f>
        <v>41.2</v>
      </c>
      <c r="Y25" s="8">
        <f t="shared" si="63"/>
        <v>41.2</v>
      </c>
      <c r="Z25" s="8">
        <f t="shared" si="63"/>
        <v>41.2</v>
      </c>
      <c r="AA25" s="8">
        <f t="shared" si="63"/>
        <v>41.2</v>
      </c>
      <c r="AB25" s="8">
        <f t="shared" si="63"/>
        <v>41.2</v>
      </c>
      <c r="AC25" s="8">
        <f t="shared" si="63"/>
        <v>41.2</v>
      </c>
      <c r="AD25" s="8">
        <f t="shared" si="63"/>
        <v>41.2</v>
      </c>
      <c r="AE25" s="8">
        <f t="shared" si="63"/>
        <v>41.2</v>
      </c>
      <c r="AF25" s="8">
        <f t="shared" si="63"/>
        <v>41.2</v>
      </c>
      <c r="AG25" s="8">
        <f t="shared" si="63"/>
        <v>41.2</v>
      </c>
      <c r="AH25" s="8">
        <f t="shared" si="63"/>
        <v>41.2</v>
      </c>
      <c r="AI25" s="29">
        <f>S25*$C$54</f>
        <v>494.40000000000003</v>
      </c>
      <c r="AJ25" s="23">
        <f t="shared" si="56"/>
        <v>4.3298741542879549E-2</v>
      </c>
      <c r="AL25" s="25" t="s">
        <v>25</v>
      </c>
      <c r="AM25" s="8">
        <f>$AY$25/12</f>
        <v>42.436</v>
      </c>
      <c r="AN25" s="8">
        <f>$AY$25/12</f>
        <v>42.436</v>
      </c>
      <c r="AO25" s="8">
        <f t="shared" ref="AO25:AX25" si="64">$AY$25/12</f>
        <v>42.436</v>
      </c>
      <c r="AP25" s="8">
        <f t="shared" si="64"/>
        <v>42.436</v>
      </c>
      <c r="AQ25" s="8">
        <f t="shared" si="64"/>
        <v>42.436</v>
      </c>
      <c r="AR25" s="8">
        <f t="shared" si="64"/>
        <v>42.436</v>
      </c>
      <c r="AS25" s="8">
        <f t="shared" si="64"/>
        <v>42.436</v>
      </c>
      <c r="AT25" s="8">
        <f t="shared" si="64"/>
        <v>42.436</v>
      </c>
      <c r="AU25" s="8">
        <f t="shared" si="64"/>
        <v>42.436</v>
      </c>
      <c r="AV25" s="8">
        <f t="shared" si="64"/>
        <v>42.436</v>
      </c>
      <c r="AW25" s="8">
        <f t="shared" si="64"/>
        <v>42.436</v>
      </c>
      <c r="AX25" s="8">
        <f t="shared" si="64"/>
        <v>42.436</v>
      </c>
      <c r="AY25" s="28">
        <f>AI25*$C$55</f>
        <v>509.23200000000003</v>
      </c>
      <c r="AZ25" s="23">
        <f t="shared" si="58"/>
        <v>4.3286815777146444E-2</v>
      </c>
    </row>
    <row r="26" spans="2:52" ht="16.899999999999999" customHeight="1" x14ac:dyDescent="0.25">
      <c r="B26" s="119" t="s">
        <v>217</v>
      </c>
      <c r="C26" s="75">
        <v>1000</v>
      </c>
      <c r="D26" s="101" t="s">
        <v>110</v>
      </c>
      <c r="F26" s="25" t="s">
        <v>4</v>
      </c>
      <c r="G26" s="9">
        <f t="shared" ref="G26:R26" si="65">$C$44*G20</f>
        <v>0.12012410000000001</v>
      </c>
      <c r="H26" s="9">
        <f t="shared" si="65"/>
        <v>0.12012410000000001</v>
      </c>
      <c r="I26" s="9">
        <f t="shared" si="65"/>
        <v>0.12012410000000001</v>
      </c>
      <c r="J26" s="9">
        <f t="shared" si="65"/>
        <v>0.12012410000000001</v>
      </c>
      <c r="K26" s="9">
        <f t="shared" si="65"/>
        <v>0.12012410000000001</v>
      </c>
      <c r="L26" s="9">
        <f t="shared" si="65"/>
        <v>0.12012410000000001</v>
      </c>
      <c r="M26" s="9">
        <f t="shared" si="65"/>
        <v>0.12012410000000001</v>
      </c>
      <c r="N26" s="9">
        <f t="shared" si="65"/>
        <v>0.12012410000000001</v>
      </c>
      <c r="O26" s="9">
        <f t="shared" si="65"/>
        <v>0.12012410000000001</v>
      </c>
      <c r="P26" s="9">
        <f t="shared" si="65"/>
        <v>0.12012410000000001</v>
      </c>
      <c r="Q26" s="9">
        <f t="shared" si="65"/>
        <v>0.12012410000000001</v>
      </c>
      <c r="R26" s="9">
        <f t="shared" si="65"/>
        <v>0.12012410000000001</v>
      </c>
      <c r="S26" s="29">
        <f t="shared" si="1"/>
        <v>1.4414891999999997</v>
      </c>
      <c r="T26" s="23">
        <f t="shared" si="54"/>
        <v>1.300665755476196E-4</v>
      </c>
      <c r="V26" s="25" t="s">
        <v>4</v>
      </c>
      <c r="W26" s="8">
        <f t="shared" ref="W26:AH26" si="66">$C$44*W20</f>
        <v>0.26425404000000002</v>
      </c>
      <c r="X26" s="8">
        <f t="shared" si="66"/>
        <v>0.26425404000000002</v>
      </c>
      <c r="Y26" s="8">
        <f t="shared" si="66"/>
        <v>0.26425404000000002</v>
      </c>
      <c r="Z26" s="8">
        <f t="shared" si="66"/>
        <v>0.26425404000000002</v>
      </c>
      <c r="AA26" s="8">
        <f t="shared" si="66"/>
        <v>0.26425404000000002</v>
      </c>
      <c r="AB26" s="8">
        <f t="shared" si="66"/>
        <v>0.26425404000000002</v>
      </c>
      <c r="AC26" s="8">
        <f t="shared" si="66"/>
        <v>0.26425404000000002</v>
      </c>
      <c r="AD26" s="8">
        <f t="shared" si="66"/>
        <v>0.26425404000000002</v>
      </c>
      <c r="AE26" s="8">
        <f t="shared" si="66"/>
        <v>0.26425404000000002</v>
      </c>
      <c r="AF26" s="8">
        <f t="shared" si="66"/>
        <v>0.26425404000000002</v>
      </c>
      <c r="AG26" s="8">
        <f t="shared" si="66"/>
        <v>0.26425404000000002</v>
      </c>
      <c r="AH26" s="8">
        <f t="shared" si="66"/>
        <v>0.26425404000000002</v>
      </c>
      <c r="AI26" s="29">
        <f>SUM(W26:AH26)</f>
        <v>3.1710484800000001</v>
      </c>
      <c r="AJ26" s="23">
        <f t="shared" si="56"/>
        <v>2.7771522766072219E-4</v>
      </c>
      <c r="AL26" s="25" t="s">
        <v>4</v>
      </c>
      <c r="AM26" s="8">
        <f t="shared" ref="AM26:AX26" si="67">$C$44*AM20</f>
        <v>0.4161902945</v>
      </c>
      <c r="AN26" s="8">
        <f t="shared" si="67"/>
        <v>0.4161902945</v>
      </c>
      <c r="AO26" s="8">
        <f t="shared" si="67"/>
        <v>0.4161902945</v>
      </c>
      <c r="AP26" s="8">
        <f t="shared" si="67"/>
        <v>0.4161902945</v>
      </c>
      <c r="AQ26" s="8">
        <f t="shared" si="67"/>
        <v>0.4161902945</v>
      </c>
      <c r="AR26" s="8">
        <f t="shared" si="67"/>
        <v>0.4161902945</v>
      </c>
      <c r="AS26" s="8">
        <f t="shared" si="67"/>
        <v>0.4161902945</v>
      </c>
      <c r="AT26" s="8">
        <f t="shared" si="67"/>
        <v>0.4161902945</v>
      </c>
      <c r="AU26" s="8">
        <f t="shared" si="67"/>
        <v>0.4161902945</v>
      </c>
      <c r="AV26" s="8">
        <f t="shared" si="67"/>
        <v>0.4161902945</v>
      </c>
      <c r="AW26" s="8">
        <f t="shared" si="67"/>
        <v>0.4161902945</v>
      </c>
      <c r="AX26" s="8">
        <f t="shared" si="67"/>
        <v>0.4161902945</v>
      </c>
      <c r="AY26" s="28">
        <f>SUM(AM26:AX26)</f>
        <v>4.9942835339999982</v>
      </c>
      <c r="AZ26" s="23">
        <f t="shared" si="58"/>
        <v>4.2453465468606411E-4</v>
      </c>
    </row>
    <row r="27" spans="2:52" ht="16.899999999999999" customHeight="1" x14ac:dyDescent="0.25">
      <c r="B27" s="120" t="s">
        <v>41</v>
      </c>
      <c r="C27" s="75">
        <v>0</v>
      </c>
      <c r="D27" s="101" t="s">
        <v>111</v>
      </c>
      <c r="F27" s="25" t="s">
        <v>40</v>
      </c>
      <c r="G27" s="9">
        <f t="shared" ref="G27:R27" si="68">G20*$C$45</f>
        <v>0.10510858750000002</v>
      </c>
      <c r="H27" s="9">
        <f t="shared" si="68"/>
        <v>0.10510858750000002</v>
      </c>
      <c r="I27" s="9">
        <f t="shared" si="68"/>
        <v>0.10510858750000002</v>
      </c>
      <c r="J27" s="9">
        <f t="shared" si="68"/>
        <v>0.10510858750000002</v>
      </c>
      <c r="K27" s="9">
        <f t="shared" si="68"/>
        <v>0.10510858750000002</v>
      </c>
      <c r="L27" s="9">
        <f t="shared" si="68"/>
        <v>0.10510858750000002</v>
      </c>
      <c r="M27" s="9">
        <f t="shared" si="68"/>
        <v>0.10510858750000002</v>
      </c>
      <c r="N27" s="9">
        <f t="shared" si="68"/>
        <v>0.10510858750000002</v>
      </c>
      <c r="O27" s="9">
        <f t="shared" si="68"/>
        <v>0.10510858750000002</v>
      </c>
      <c r="P27" s="9">
        <f t="shared" si="68"/>
        <v>0.10510858750000002</v>
      </c>
      <c r="Q27" s="9">
        <f t="shared" si="68"/>
        <v>0.10510858750000002</v>
      </c>
      <c r="R27" s="9">
        <f t="shared" si="68"/>
        <v>0.10510858750000002</v>
      </c>
      <c r="S27" s="29">
        <f t="shared" si="1"/>
        <v>1.2613030499999998</v>
      </c>
      <c r="T27" s="23">
        <f t="shared" si="54"/>
        <v>1.1380825360416714E-4</v>
      </c>
      <c r="V27" s="25" t="s">
        <v>40</v>
      </c>
      <c r="W27" s="9">
        <f t="shared" ref="W27:AH27" si="69">W20*$C$45</f>
        <v>0.23122228500000003</v>
      </c>
      <c r="X27" s="9">
        <f t="shared" si="69"/>
        <v>0.23122228500000003</v>
      </c>
      <c r="Y27" s="9">
        <f t="shared" si="69"/>
        <v>0.23122228500000003</v>
      </c>
      <c r="Z27" s="9">
        <f t="shared" si="69"/>
        <v>0.23122228500000003</v>
      </c>
      <c r="AA27" s="9">
        <f t="shared" si="69"/>
        <v>0.23122228500000003</v>
      </c>
      <c r="AB27" s="9">
        <f t="shared" si="69"/>
        <v>0.23122228500000003</v>
      </c>
      <c r="AC27" s="9">
        <f t="shared" si="69"/>
        <v>0.23122228500000003</v>
      </c>
      <c r="AD27" s="9">
        <f t="shared" si="69"/>
        <v>0.23122228500000003</v>
      </c>
      <c r="AE27" s="9">
        <f t="shared" si="69"/>
        <v>0.23122228500000003</v>
      </c>
      <c r="AF27" s="9">
        <f t="shared" si="69"/>
        <v>0.23122228500000003</v>
      </c>
      <c r="AG27" s="9">
        <f t="shared" si="69"/>
        <v>0.23122228500000003</v>
      </c>
      <c r="AH27" s="9">
        <f t="shared" si="69"/>
        <v>0.23122228500000003</v>
      </c>
      <c r="AI27" s="29">
        <f>SUM(W27:AH27)</f>
        <v>2.7746674200000001</v>
      </c>
      <c r="AJ27" s="23">
        <f t="shared" si="56"/>
        <v>2.430008242031319E-4</v>
      </c>
      <c r="AL27" s="25" t="s">
        <v>40</v>
      </c>
      <c r="AM27" s="9">
        <f t="shared" ref="AM27:AX27" si="70">AM20*$C$45</f>
        <v>0.36416650768750003</v>
      </c>
      <c r="AN27" s="9">
        <f t="shared" si="70"/>
        <v>0.36416650768750003</v>
      </c>
      <c r="AO27" s="9">
        <f t="shared" si="70"/>
        <v>0.36416650768750003</v>
      </c>
      <c r="AP27" s="9">
        <f t="shared" si="70"/>
        <v>0.36416650768750003</v>
      </c>
      <c r="AQ27" s="9">
        <f t="shared" si="70"/>
        <v>0.36416650768750003</v>
      </c>
      <c r="AR27" s="9">
        <f t="shared" si="70"/>
        <v>0.36416650768750003</v>
      </c>
      <c r="AS27" s="9">
        <f t="shared" si="70"/>
        <v>0.36416650768750003</v>
      </c>
      <c r="AT27" s="9">
        <f t="shared" si="70"/>
        <v>0.36416650768750003</v>
      </c>
      <c r="AU27" s="9">
        <f t="shared" si="70"/>
        <v>0.36416650768750003</v>
      </c>
      <c r="AV27" s="9">
        <f t="shared" si="70"/>
        <v>0.36416650768750003</v>
      </c>
      <c r="AW27" s="9">
        <f t="shared" si="70"/>
        <v>0.36416650768750003</v>
      </c>
      <c r="AX27" s="9">
        <f t="shared" si="70"/>
        <v>0.36416650768750003</v>
      </c>
      <c r="AY27" s="28">
        <f>SUM(AM27:AX27)</f>
        <v>4.3699980922500004</v>
      </c>
      <c r="AZ27" s="23">
        <f t="shared" si="58"/>
        <v>3.7146782285030623E-4</v>
      </c>
    </row>
    <row r="28" spans="2:52" ht="16.899999999999999" customHeight="1" x14ac:dyDescent="0.25">
      <c r="B28" s="121" t="s">
        <v>42</v>
      </c>
      <c r="C28" s="75">
        <v>100</v>
      </c>
      <c r="D28" s="101" t="s">
        <v>112</v>
      </c>
      <c r="F28" s="25" t="s">
        <v>26</v>
      </c>
      <c r="G28" s="9">
        <f t="shared" ref="G28:R28" si="71">$C$46</f>
        <v>100</v>
      </c>
      <c r="H28" s="9">
        <f t="shared" si="71"/>
        <v>100</v>
      </c>
      <c r="I28" s="9">
        <f t="shared" si="71"/>
        <v>100</v>
      </c>
      <c r="J28" s="9">
        <f t="shared" si="71"/>
        <v>100</v>
      </c>
      <c r="K28" s="9">
        <f t="shared" si="71"/>
        <v>100</v>
      </c>
      <c r="L28" s="9">
        <f t="shared" si="71"/>
        <v>100</v>
      </c>
      <c r="M28" s="9">
        <f t="shared" si="71"/>
        <v>100</v>
      </c>
      <c r="N28" s="9">
        <f t="shared" si="71"/>
        <v>100</v>
      </c>
      <c r="O28" s="9">
        <f t="shared" si="71"/>
        <v>100</v>
      </c>
      <c r="P28" s="9">
        <f t="shared" si="71"/>
        <v>100</v>
      </c>
      <c r="Q28" s="9">
        <f t="shared" si="71"/>
        <v>100</v>
      </c>
      <c r="R28" s="9">
        <f t="shared" si="71"/>
        <v>100</v>
      </c>
      <c r="S28" s="29">
        <f t="shared" si="1"/>
        <v>1200</v>
      </c>
      <c r="T28" s="23">
        <f t="shared" si="54"/>
        <v>0.10827683666110266</v>
      </c>
      <c r="V28" s="25" t="s">
        <v>26</v>
      </c>
      <c r="W28" s="8">
        <f>$AI$28/12</f>
        <v>103</v>
      </c>
      <c r="X28" s="8">
        <f t="shared" ref="X28:AH28" si="72">$AI$28/12</f>
        <v>103</v>
      </c>
      <c r="Y28" s="8">
        <f t="shared" si="72"/>
        <v>103</v>
      </c>
      <c r="Z28" s="8">
        <f t="shared" si="72"/>
        <v>103</v>
      </c>
      <c r="AA28" s="8">
        <f t="shared" si="72"/>
        <v>103</v>
      </c>
      <c r="AB28" s="8">
        <f t="shared" si="72"/>
        <v>103</v>
      </c>
      <c r="AC28" s="8">
        <f t="shared" si="72"/>
        <v>103</v>
      </c>
      <c r="AD28" s="8">
        <f t="shared" si="72"/>
        <v>103</v>
      </c>
      <c r="AE28" s="8">
        <f t="shared" si="72"/>
        <v>103</v>
      </c>
      <c r="AF28" s="8">
        <f t="shared" si="72"/>
        <v>103</v>
      </c>
      <c r="AG28" s="8">
        <f t="shared" si="72"/>
        <v>103</v>
      </c>
      <c r="AH28" s="8">
        <f t="shared" si="72"/>
        <v>103</v>
      </c>
      <c r="AI28" s="29">
        <f t="shared" ref="AI28:AI34" si="73">S28*$C$54</f>
        <v>1236</v>
      </c>
      <c r="AJ28" s="23">
        <f t="shared" si="56"/>
        <v>0.10824685385719887</v>
      </c>
      <c r="AL28" s="25" t="s">
        <v>26</v>
      </c>
      <c r="AM28" s="8">
        <f>$AY$28/12</f>
        <v>106.08999999999999</v>
      </c>
      <c r="AN28" s="8">
        <f>$AY$28/12</f>
        <v>106.08999999999999</v>
      </c>
      <c r="AO28" s="8">
        <f t="shared" ref="AO28:AX28" si="74">$AY$28/12</f>
        <v>106.08999999999999</v>
      </c>
      <c r="AP28" s="8">
        <f t="shared" si="74"/>
        <v>106.08999999999999</v>
      </c>
      <c r="AQ28" s="8">
        <f t="shared" si="74"/>
        <v>106.08999999999999</v>
      </c>
      <c r="AR28" s="8">
        <f t="shared" si="74"/>
        <v>106.08999999999999</v>
      </c>
      <c r="AS28" s="8">
        <f t="shared" si="74"/>
        <v>106.08999999999999</v>
      </c>
      <c r="AT28" s="8">
        <f t="shared" si="74"/>
        <v>106.08999999999999</v>
      </c>
      <c r="AU28" s="8">
        <f t="shared" si="74"/>
        <v>106.08999999999999</v>
      </c>
      <c r="AV28" s="8">
        <f t="shared" si="74"/>
        <v>106.08999999999999</v>
      </c>
      <c r="AW28" s="8">
        <f t="shared" si="74"/>
        <v>106.08999999999999</v>
      </c>
      <c r="AX28" s="8">
        <f t="shared" si="74"/>
        <v>106.08999999999999</v>
      </c>
      <c r="AY28" s="28">
        <f t="shared" ref="AY28:AY34" si="75">AI28*$C$55</f>
        <v>1273.08</v>
      </c>
      <c r="AZ28" s="23">
        <f t="shared" si="58"/>
        <v>0.10821703944286609</v>
      </c>
    </row>
    <row r="29" spans="2:52" ht="16.899999999999999" customHeight="1" x14ac:dyDescent="0.25">
      <c r="B29" s="122" t="s">
        <v>67</v>
      </c>
      <c r="C29" s="75">
        <v>1000</v>
      </c>
      <c r="D29" s="101" t="s">
        <v>191</v>
      </c>
      <c r="F29" s="25" t="s">
        <v>3</v>
      </c>
      <c r="G29" s="9">
        <f t="shared" ref="G29:R29" si="76">$C$47</f>
        <v>100</v>
      </c>
      <c r="H29" s="9">
        <f t="shared" si="76"/>
        <v>100</v>
      </c>
      <c r="I29" s="9">
        <f t="shared" si="76"/>
        <v>100</v>
      </c>
      <c r="J29" s="9">
        <f t="shared" si="76"/>
        <v>100</v>
      </c>
      <c r="K29" s="9">
        <f t="shared" si="76"/>
        <v>100</v>
      </c>
      <c r="L29" s="9">
        <f t="shared" si="76"/>
        <v>100</v>
      </c>
      <c r="M29" s="9">
        <f t="shared" si="76"/>
        <v>100</v>
      </c>
      <c r="N29" s="9">
        <f t="shared" si="76"/>
        <v>100</v>
      </c>
      <c r="O29" s="9">
        <f t="shared" si="76"/>
        <v>100</v>
      </c>
      <c r="P29" s="9">
        <f t="shared" si="76"/>
        <v>100</v>
      </c>
      <c r="Q29" s="9">
        <f t="shared" si="76"/>
        <v>100</v>
      </c>
      <c r="R29" s="9">
        <f t="shared" si="76"/>
        <v>100</v>
      </c>
      <c r="S29" s="29">
        <f t="shared" si="1"/>
        <v>1200</v>
      </c>
      <c r="T29" s="23">
        <f t="shared" si="54"/>
        <v>0.10827683666110266</v>
      </c>
      <c r="V29" s="25" t="s">
        <v>3</v>
      </c>
      <c r="W29" s="8">
        <f>$AI$29/12</f>
        <v>103</v>
      </c>
      <c r="X29" s="8">
        <f t="shared" ref="X29:AH29" si="77">$AI$29/12</f>
        <v>103</v>
      </c>
      <c r="Y29" s="8">
        <f t="shared" si="77"/>
        <v>103</v>
      </c>
      <c r="Z29" s="8">
        <f t="shared" si="77"/>
        <v>103</v>
      </c>
      <c r="AA29" s="8">
        <f t="shared" si="77"/>
        <v>103</v>
      </c>
      <c r="AB29" s="8">
        <f t="shared" si="77"/>
        <v>103</v>
      </c>
      <c r="AC29" s="8">
        <f t="shared" si="77"/>
        <v>103</v>
      </c>
      <c r="AD29" s="8">
        <f t="shared" si="77"/>
        <v>103</v>
      </c>
      <c r="AE29" s="8">
        <f t="shared" si="77"/>
        <v>103</v>
      </c>
      <c r="AF29" s="8">
        <f t="shared" si="77"/>
        <v>103</v>
      </c>
      <c r="AG29" s="8">
        <f t="shared" si="77"/>
        <v>103</v>
      </c>
      <c r="AH29" s="8">
        <f t="shared" si="77"/>
        <v>103</v>
      </c>
      <c r="AI29" s="29">
        <f t="shared" si="73"/>
        <v>1236</v>
      </c>
      <c r="AJ29" s="23">
        <f t="shared" si="56"/>
        <v>0.10824685385719887</v>
      </c>
      <c r="AL29" s="25" t="s">
        <v>3</v>
      </c>
      <c r="AM29" s="8">
        <f>$AY$29/12</f>
        <v>106.08999999999999</v>
      </c>
      <c r="AN29" s="8">
        <f t="shared" ref="AN29:AX29" si="78">$AY$29/12</f>
        <v>106.08999999999999</v>
      </c>
      <c r="AO29" s="8">
        <f t="shared" si="78"/>
        <v>106.08999999999999</v>
      </c>
      <c r="AP29" s="8">
        <f t="shared" si="78"/>
        <v>106.08999999999999</v>
      </c>
      <c r="AQ29" s="8">
        <f t="shared" si="78"/>
        <v>106.08999999999999</v>
      </c>
      <c r="AR29" s="8">
        <f t="shared" si="78"/>
        <v>106.08999999999999</v>
      </c>
      <c r="AS29" s="8">
        <f t="shared" si="78"/>
        <v>106.08999999999999</v>
      </c>
      <c r="AT29" s="8">
        <f t="shared" si="78"/>
        <v>106.08999999999999</v>
      </c>
      <c r="AU29" s="8">
        <f t="shared" si="78"/>
        <v>106.08999999999999</v>
      </c>
      <c r="AV29" s="8">
        <f t="shared" si="78"/>
        <v>106.08999999999999</v>
      </c>
      <c r="AW29" s="8">
        <f t="shared" si="78"/>
        <v>106.08999999999999</v>
      </c>
      <c r="AX29" s="8">
        <f t="shared" si="78"/>
        <v>106.08999999999999</v>
      </c>
      <c r="AY29" s="28">
        <f t="shared" si="75"/>
        <v>1273.08</v>
      </c>
      <c r="AZ29" s="23">
        <f t="shared" si="58"/>
        <v>0.10821703944286609</v>
      </c>
    </row>
    <row r="30" spans="2:52" ht="16.899999999999999" customHeight="1" x14ac:dyDescent="0.25">
      <c r="B30" s="123" t="s">
        <v>44</v>
      </c>
      <c r="C30" s="75">
        <v>200</v>
      </c>
      <c r="D30" s="101" t="s">
        <v>43</v>
      </c>
      <c r="F30" s="25" t="s">
        <v>34</v>
      </c>
      <c r="G30" s="9">
        <v>0</v>
      </c>
      <c r="H30" s="9">
        <v>0</v>
      </c>
      <c r="I30" s="9">
        <f t="shared" ref="I30:R30" si="79">$C$48</f>
        <v>100</v>
      </c>
      <c r="J30" s="9">
        <f t="shared" si="79"/>
        <v>100</v>
      </c>
      <c r="K30" s="9">
        <f t="shared" si="79"/>
        <v>100</v>
      </c>
      <c r="L30" s="9">
        <f t="shared" si="79"/>
        <v>100</v>
      </c>
      <c r="M30" s="9">
        <f t="shared" si="79"/>
        <v>100</v>
      </c>
      <c r="N30" s="9">
        <f t="shared" si="79"/>
        <v>100</v>
      </c>
      <c r="O30" s="9">
        <f t="shared" si="79"/>
        <v>100</v>
      </c>
      <c r="P30" s="9">
        <f t="shared" si="79"/>
        <v>100</v>
      </c>
      <c r="Q30" s="9">
        <f t="shared" si="79"/>
        <v>100</v>
      </c>
      <c r="R30" s="9">
        <f t="shared" si="79"/>
        <v>100</v>
      </c>
      <c r="S30" s="29">
        <f t="shared" si="1"/>
        <v>1000</v>
      </c>
      <c r="T30" s="23">
        <f t="shared" si="54"/>
        <v>9.0230697217585545E-2</v>
      </c>
      <c r="V30" s="25" t="s">
        <v>34</v>
      </c>
      <c r="W30" s="8">
        <f>$AI$30/12</f>
        <v>85.833333333333329</v>
      </c>
      <c r="X30" s="8">
        <f t="shared" ref="X30:AH30" si="80">$AI$30/12</f>
        <v>85.833333333333329</v>
      </c>
      <c r="Y30" s="8">
        <f t="shared" si="80"/>
        <v>85.833333333333329</v>
      </c>
      <c r="Z30" s="8">
        <f t="shared" si="80"/>
        <v>85.833333333333329</v>
      </c>
      <c r="AA30" s="8">
        <f t="shared" si="80"/>
        <v>85.833333333333329</v>
      </c>
      <c r="AB30" s="8">
        <f t="shared" si="80"/>
        <v>85.833333333333329</v>
      </c>
      <c r="AC30" s="8">
        <f t="shared" si="80"/>
        <v>85.833333333333329</v>
      </c>
      <c r="AD30" s="8">
        <f t="shared" si="80"/>
        <v>85.833333333333329</v>
      </c>
      <c r="AE30" s="8">
        <f t="shared" si="80"/>
        <v>85.833333333333329</v>
      </c>
      <c r="AF30" s="8">
        <f t="shared" si="80"/>
        <v>85.833333333333329</v>
      </c>
      <c r="AG30" s="8">
        <f t="shared" si="80"/>
        <v>85.833333333333329</v>
      </c>
      <c r="AH30" s="8">
        <f t="shared" si="80"/>
        <v>85.833333333333329</v>
      </c>
      <c r="AI30" s="29">
        <f t="shared" si="73"/>
        <v>1030</v>
      </c>
      <c r="AJ30" s="23">
        <f t="shared" si="56"/>
        <v>9.0205711547665726E-2</v>
      </c>
      <c r="AL30" s="25" t="s">
        <v>34</v>
      </c>
      <c r="AM30" s="8">
        <f>$AY$30/12</f>
        <v>88.408333333333346</v>
      </c>
      <c r="AN30" s="8">
        <f>$AY$30/12</f>
        <v>88.408333333333346</v>
      </c>
      <c r="AO30" s="8">
        <f t="shared" ref="AO30:AX30" si="81">$AY$30/12</f>
        <v>88.408333333333346</v>
      </c>
      <c r="AP30" s="8">
        <f t="shared" si="81"/>
        <v>88.408333333333346</v>
      </c>
      <c r="AQ30" s="8">
        <f t="shared" si="81"/>
        <v>88.408333333333346</v>
      </c>
      <c r="AR30" s="8">
        <f t="shared" si="81"/>
        <v>88.408333333333346</v>
      </c>
      <c r="AS30" s="8">
        <f t="shared" si="81"/>
        <v>88.408333333333346</v>
      </c>
      <c r="AT30" s="8">
        <f t="shared" si="81"/>
        <v>88.408333333333346</v>
      </c>
      <c r="AU30" s="8">
        <f t="shared" si="81"/>
        <v>88.408333333333346</v>
      </c>
      <c r="AV30" s="8">
        <f t="shared" si="81"/>
        <v>88.408333333333346</v>
      </c>
      <c r="AW30" s="8">
        <f t="shared" si="81"/>
        <v>88.408333333333346</v>
      </c>
      <c r="AX30" s="8">
        <f t="shared" si="81"/>
        <v>88.408333333333346</v>
      </c>
      <c r="AY30" s="28">
        <f t="shared" si="75"/>
        <v>1060.9000000000001</v>
      </c>
      <c r="AZ30" s="23">
        <f t="shared" si="58"/>
        <v>9.0180866202388424E-2</v>
      </c>
    </row>
    <row r="31" spans="2:52" ht="16.899999999999999" customHeight="1" x14ac:dyDescent="0.25">
      <c r="B31" s="123" t="s">
        <v>192</v>
      </c>
      <c r="C31" s="75">
        <v>0</v>
      </c>
      <c r="D31" s="101" t="s">
        <v>43</v>
      </c>
      <c r="F31" s="25" t="s">
        <v>29</v>
      </c>
      <c r="G31" s="9">
        <f t="shared" ref="G31:R31" si="82">$C$49</f>
        <v>100</v>
      </c>
      <c r="H31" s="9">
        <f t="shared" si="82"/>
        <v>100</v>
      </c>
      <c r="I31" s="9">
        <f t="shared" si="82"/>
        <v>100</v>
      </c>
      <c r="J31" s="9">
        <f t="shared" si="82"/>
        <v>100</v>
      </c>
      <c r="K31" s="9">
        <f t="shared" si="82"/>
        <v>100</v>
      </c>
      <c r="L31" s="9">
        <f t="shared" si="82"/>
        <v>100</v>
      </c>
      <c r="M31" s="9">
        <f t="shared" si="82"/>
        <v>100</v>
      </c>
      <c r="N31" s="9">
        <f t="shared" si="82"/>
        <v>100</v>
      </c>
      <c r="O31" s="9">
        <f t="shared" si="82"/>
        <v>100</v>
      </c>
      <c r="P31" s="9">
        <f t="shared" si="82"/>
        <v>100</v>
      </c>
      <c r="Q31" s="9">
        <f t="shared" si="82"/>
        <v>100</v>
      </c>
      <c r="R31" s="9">
        <f t="shared" si="82"/>
        <v>100</v>
      </c>
      <c r="S31" s="29">
        <f t="shared" si="1"/>
        <v>1200</v>
      </c>
      <c r="T31" s="23">
        <f t="shared" si="54"/>
        <v>0.10827683666110266</v>
      </c>
      <c r="V31" s="25" t="s">
        <v>29</v>
      </c>
      <c r="W31" s="8">
        <f>$AI$31/12</f>
        <v>103</v>
      </c>
      <c r="X31" s="8">
        <f t="shared" ref="X31:AH31" si="83">$AI$31/12</f>
        <v>103</v>
      </c>
      <c r="Y31" s="8">
        <f t="shared" si="83"/>
        <v>103</v>
      </c>
      <c r="Z31" s="8">
        <f t="shared" si="83"/>
        <v>103</v>
      </c>
      <c r="AA31" s="8">
        <f t="shared" si="83"/>
        <v>103</v>
      </c>
      <c r="AB31" s="8">
        <f t="shared" si="83"/>
        <v>103</v>
      </c>
      <c r="AC31" s="8">
        <f t="shared" si="83"/>
        <v>103</v>
      </c>
      <c r="AD31" s="8">
        <f t="shared" si="83"/>
        <v>103</v>
      </c>
      <c r="AE31" s="8">
        <f t="shared" si="83"/>
        <v>103</v>
      </c>
      <c r="AF31" s="8">
        <f t="shared" si="83"/>
        <v>103</v>
      </c>
      <c r="AG31" s="8">
        <f t="shared" si="83"/>
        <v>103</v>
      </c>
      <c r="AH31" s="8">
        <f t="shared" si="83"/>
        <v>103</v>
      </c>
      <c r="AI31" s="29">
        <f t="shared" si="73"/>
        <v>1236</v>
      </c>
      <c r="AJ31" s="23">
        <f t="shared" si="56"/>
        <v>0.10824685385719887</v>
      </c>
      <c r="AL31" s="25" t="s">
        <v>29</v>
      </c>
      <c r="AM31" s="8">
        <f>$AY$31/12</f>
        <v>106.08999999999999</v>
      </c>
      <c r="AN31" s="8">
        <f>$AY$31/12</f>
        <v>106.08999999999999</v>
      </c>
      <c r="AO31" s="8">
        <f t="shared" ref="AO31:AX31" si="84">$AY$31/12</f>
        <v>106.08999999999999</v>
      </c>
      <c r="AP31" s="8">
        <f t="shared" si="84"/>
        <v>106.08999999999999</v>
      </c>
      <c r="AQ31" s="8">
        <f t="shared" si="84"/>
        <v>106.08999999999999</v>
      </c>
      <c r="AR31" s="8">
        <f t="shared" si="84"/>
        <v>106.08999999999999</v>
      </c>
      <c r="AS31" s="8">
        <f t="shared" si="84"/>
        <v>106.08999999999999</v>
      </c>
      <c r="AT31" s="8">
        <f t="shared" si="84"/>
        <v>106.08999999999999</v>
      </c>
      <c r="AU31" s="8">
        <f t="shared" si="84"/>
        <v>106.08999999999999</v>
      </c>
      <c r="AV31" s="8">
        <f t="shared" si="84"/>
        <v>106.08999999999999</v>
      </c>
      <c r="AW31" s="8">
        <f t="shared" si="84"/>
        <v>106.08999999999999</v>
      </c>
      <c r="AX31" s="8">
        <f t="shared" si="84"/>
        <v>106.08999999999999</v>
      </c>
      <c r="AY31" s="28">
        <f t="shared" si="75"/>
        <v>1273.08</v>
      </c>
      <c r="AZ31" s="23">
        <f t="shared" si="58"/>
        <v>0.10821703944286609</v>
      </c>
    </row>
    <row r="32" spans="2:52" ht="16.899999999999999" customHeight="1" x14ac:dyDescent="0.25">
      <c r="B32" s="123" t="s">
        <v>46</v>
      </c>
      <c r="C32" s="75">
        <v>1000</v>
      </c>
      <c r="D32" s="101" t="s">
        <v>43</v>
      </c>
      <c r="F32" s="25" t="s">
        <v>38</v>
      </c>
      <c r="G32" s="9">
        <f t="shared" ref="G32:R32" si="85">$C$50</f>
        <v>100</v>
      </c>
      <c r="H32" s="9">
        <f t="shared" si="85"/>
        <v>100</v>
      </c>
      <c r="I32" s="9">
        <f t="shared" si="85"/>
        <v>100</v>
      </c>
      <c r="J32" s="9">
        <f t="shared" si="85"/>
        <v>100</v>
      </c>
      <c r="K32" s="9">
        <f t="shared" si="85"/>
        <v>100</v>
      </c>
      <c r="L32" s="9">
        <f t="shared" si="85"/>
        <v>100</v>
      </c>
      <c r="M32" s="9">
        <f t="shared" si="85"/>
        <v>100</v>
      </c>
      <c r="N32" s="9">
        <f t="shared" si="85"/>
        <v>100</v>
      </c>
      <c r="O32" s="9">
        <f t="shared" si="85"/>
        <v>100</v>
      </c>
      <c r="P32" s="9">
        <f t="shared" si="85"/>
        <v>100</v>
      </c>
      <c r="Q32" s="9">
        <f t="shared" si="85"/>
        <v>100</v>
      </c>
      <c r="R32" s="9">
        <f t="shared" si="85"/>
        <v>100</v>
      </c>
      <c r="S32" s="29">
        <f t="shared" si="1"/>
        <v>1200</v>
      </c>
      <c r="T32" s="23">
        <f t="shared" si="54"/>
        <v>0.10827683666110266</v>
      </c>
      <c r="V32" s="25" t="s">
        <v>38</v>
      </c>
      <c r="W32" s="8">
        <f>$AI$32/12</f>
        <v>103</v>
      </c>
      <c r="X32" s="8">
        <f t="shared" ref="X32:AH32" si="86">$AI$32/12</f>
        <v>103</v>
      </c>
      <c r="Y32" s="8">
        <f t="shared" si="86"/>
        <v>103</v>
      </c>
      <c r="Z32" s="8">
        <f t="shared" si="86"/>
        <v>103</v>
      </c>
      <c r="AA32" s="8">
        <f t="shared" si="86"/>
        <v>103</v>
      </c>
      <c r="AB32" s="8">
        <f t="shared" si="86"/>
        <v>103</v>
      </c>
      <c r="AC32" s="8">
        <f t="shared" si="86"/>
        <v>103</v>
      </c>
      <c r="AD32" s="8">
        <f t="shared" si="86"/>
        <v>103</v>
      </c>
      <c r="AE32" s="8">
        <f t="shared" si="86"/>
        <v>103</v>
      </c>
      <c r="AF32" s="8">
        <f t="shared" si="86"/>
        <v>103</v>
      </c>
      <c r="AG32" s="8">
        <f t="shared" si="86"/>
        <v>103</v>
      </c>
      <c r="AH32" s="8">
        <f t="shared" si="86"/>
        <v>103</v>
      </c>
      <c r="AI32" s="29">
        <f t="shared" si="73"/>
        <v>1236</v>
      </c>
      <c r="AJ32" s="23">
        <f t="shared" si="56"/>
        <v>0.10824685385719887</v>
      </c>
      <c r="AL32" s="25" t="s">
        <v>38</v>
      </c>
      <c r="AM32" s="8">
        <f>$AY$32/12</f>
        <v>106.08999999999999</v>
      </c>
      <c r="AN32" s="8">
        <f>$AY$32/12</f>
        <v>106.08999999999999</v>
      </c>
      <c r="AO32" s="8">
        <f t="shared" ref="AO32:AX32" si="87">$AY$32/12</f>
        <v>106.08999999999999</v>
      </c>
      <c r="AP32" s="8">
        <f t="shared" si="87"/>
        <v>106.08999999999999</v>
      </c>
      <c r="AQ32" s="8">
        <f t="shared" si="87"/>
        <v>106.08999999999999</v>
      </c>
      <c r="AR32" s="8">
        <f t="shared" si="87"/>
        <v>106.08999999999999</v>
      </c>
      <c r="AS32" s="8">
        <f t="shared" si="87"/>
        <v>106.08999999999999</v>
      </c>
      <c r="AT32" s="8">
        <f t="shared" si="87"/>
        <v>106.08999999999999</v>
      </c>
      <c r="AU32" s="8">
        <f t="shared" si="87"/>
        <v>106.08999999999999</v>
      </c>
      <c r="AV32" s="8">
        <f t="shared" si="87"/>
        <v>106.08999999999999</v>
      </c>
      <c r="AW32" s="8">
        <f t="shared" si="87"/>
        <v>106.08999999999999</v>
      </c>
      <c r="AX32" s="8">
        <f t="shared" si="87"/>
        <v>106.08999999999999</v>
      </c>
      <c r="AY32" s="28">
        <f t="shared" si="75"/>
        <v>1273.08</v>
      </c>
      <c r="AZ32" s="23">
        <f t="shared" si="58"/>
        <v>0.10821703944286609</v>
      </c>
    </row>
    <row r="33" spans="2:52" ht="16.899999999999999" customHeight="1" x14ac:dyDescent="0.25">
      <c r="B33" s="123" t="s">
        <v>48</v>
      </c>
      <c r="C33" s="75">
        <v>1000</v>
      </c>
      <c r="D33" s="101" t="s">
        <v>43</v>
      </c>
      <c r="F33" s="25" t="s">
        <v>30</v>
      </c>
      <c r="G33" s="9">
        <f>$C$51</f>
        <v>100</v>
      </c>
      <c r="H33" s="9">
        <f>$C$51</f>
        <v>100</v>
      </c>
      <c r="I33" s="9">
        <f>$C$51</f>
        <v>100</v>
      </c>
      <c r="J33" s="9">
        <f t="shared" ref="J33:R33" si="88">$C$52</f>
        <v>100</v>
      </c>
      <c r="K33" s="9">
        <f t="shared" si="88"/>
        <v>100</v>
      </c>
      <c r="L33" s="9">
        <f t="shared" si="88"/>
        <v>100</v>
      </c>
      <c r="M33" s="9">
        <f t="shared" si="88"/>
        <v>100</v>
      </c>
      <c r="N33" s="9">
        <f t="shared" si="88"/>
        <v>100</v>
      </c>
      <c r="O33" s="9">
        <f t="shared" si="88"/>
        <v>100</v>
      </c>
      <c r="P33" s="9">
        <f t="shared" si="88"/>
        <v>100</v>
      </c>
      <c r="Q33" s="9">
        <f t="shared" si="88"/>
        <v>100</v>
      </c>
      <c r="R33" s="9">
        <f t="shared" si="88"/>
        <v>100</v>
      </c>
      <c r="S33" s="29">
        <f t="shared" si="1"/>
        <v>1200</v>
      </c>
      <c r="T33" s="23">
        <f t="shared" si="54"/>
        <v>0.10827683666110266</v>
      </c>
      <c r="V33" s="25" t="s">
        <v>30</v>
      </c>
      <c r="W33" s="8">
        <f>$AI$33/12</f>
        <v>103</v>
      </c>
      <c r="X33" s="8">
        <f t="shared" ref="X33:AH33" si="89">$AI$33/12</f>
        <v>103</v>
      </c>
      <c r="Y33" s="8">
        <f t="shared" si="89"/>
        <v>103</v>
      </c>
      <c r="Z33" s="8">
        <f t="shared" si="89"/>
        <v>103</v>
      </c>
      <c r="AA33" s="8">
        <f t="shared" si="89"/>
        <v>103</v>
      </c>
      <c r="AB33" s="8">
        <f t="shared" si="89"/>
        <v>103</v>
      </c>
      <c r="AC33" s="8">
        <f t="shared" si="89"/>
        <v>103</v>
      </c>
      <c r="AD33" s="8">
        <f t="shared" si="89"/>
        <v>103</v>
      </c>
      <c r="AE33" s="8">
        <f t="shared" si="89"/>
        <v>103</v>
      </c>
      <c r="AF33" s="8">
        <f t="shared" si="89"/>
        <v>103</v>
      </c>
      <c r="AG33" s="8">
        <f t="shared" si="89"/>
        <v>103</v>
      </c>
      <c r="AH33" s="8">
        <f t="shared" si="89"/>
        <v>103</v>
      </c>
      <c r="AI33" s="29">
        <f t="shared" si="73"/>
        <v>1236</v>
      </c>
      <c r="AJ33" s="23">
        <f t="shared" si="56"/>
        <v>0.10824685385719887</v>
      </c>
      <c r="AL33" s="25" t="s">
        <v>30</v>
      </c>
      <c r="AM33" s="8">
        <f>$AY$33/12</f>
        <v>106.08999999999999</v>
      </c>
      <c r="AN33" s="8">
        <f>$AY$33/12</f>
        <v>106.08999999999999</v>
      </c>
      <c r="AO33" s="8">
        <f t="shared" ref="AO33:AX33" si="90">$AY$33/12</f>
        <v>106.08999999999999</v>
      </c>
      <c r="AP33" s="8">
        <f t="shared" si="90"/>
        <v>106.08999999999999</v>
      </c>
      <c r="AQ33" s="8">
        <f t="shared" si="90"/>
        <v>106.08999999999999</v>
      </c>
      <c r="AR33" s="8">
        <f t="shared" si="90"/>
        <v>106.08999999999999</v>
      </c>
      <c r="AS33" s="8">
        <f t="shared" si="90"/>
        <v>106.08999999999999</v>
      </c>
      <c r="AT33" s="8">
        <f t="shared" si="90"/>
        <v>106.08999999999999</v>
      </c>
      <c r="AU33" s="8">
        <f t="shared" si="90"/>
        <v>106.08999999999999</v>
      </c>
      <c r="AV33" s="8">
        <f t="shared" si="90"/>
        <v>106.08999999999999</v>
      </c>
      <c r="AW33" s="8">
        <f t="shared" si="90"/>
        <v>106.08999999999999</v>
      </c>
      <c r="AX33" s="8">
        <f t="shared" si="90"/>
        <v>106.08999999999999</v>
      </c>
      <c r="AY33" s="28">
        <f t="shared" si="75"/>
        <v>1273.08</v>
      </c>
      <c r="AZ33" s="23">
        <f t="shared" si="58"/>
        <v>0.10821703944286609</v>
      </c>
    </row>
    <row r="34" spans="2:52" ht="16.899999999999999" customHeight="1" x14ac:dyDescent="0.25">
      <c r="B34" s="123" t="s">
        <v>202</v>
      </c>
      <c r="C34" s="54">
        <f>10%*C26</f>
        <v>100</v>
      </c>
      <c r="D34" s="101" t="s">
        <v>43</v>
      </c>
      <c r="F34" s="26" t="s">
        <v>39</v>
      </c>
      <c r="G34" s="9">
        <f t="shared" ref="G34:R34" si="91">$C$53</f>
        <v>100</v>
      </c>
      <c r="H34" s="9">
        <f t="shared" si="91"/>
        <v>100</v>
      </c>
      <c r="I34" s="9">
        <f t="shared" si="91"/>
        <v>100</v>
      </c>
      <c r="J34" s="9">
        <f t="shared" si="91"/>
        <v>100</v>
      </c>
      <c r="K34" s="9">
        <f t="shared" si="91"/>
        <v>100</v>
      </c>
      <c r="L34" s="9">
        <f t="shared" si="91"/>
        <v>100</v>
      </c>
      <c r="M34" s="9">
        <f t="shared" si="91"/>
        <v>100</v>
      </c>
      <c r="N34" s="9">
        <f t="shared" si="91"/>
        <v>100</v>
      </c>
      <c r="O34" s="9">
        <f t="shared" si="91"/>
        <v>100</v>
      </c>
      <c r="P34" s="9">
        <f t="shared" si="91"/>
        <v>100</v>
      </c>
      <c r="Q34" s="9">
        <f t="shared" si="91"/>
        <v>100</v>
      </c>
      <c r="R34" s="9">
        <f t="shared" si="91"/>
        <v>100</v>
      </c>
      <c r="S34" s="29">
        <f t="shared" si="1"/>
        <v>1200</v>
      </c>
      <c r="T34" s="23">
        <f t="shared" si="54"/>
        <v>0.10827683666110266</v>
      </c>
      <c r="V34" s="25" t="s">
        <v>39</v>
      </c>
      <c r="W34" s="8">
        <f>$AI$34/12</f>
        <v>103</v>
      </c>
      <c r="X34" s="8">
        <f t="shared" ref="X34:AH34" si="92">$AI$34/12</f>
        <v>103</v>
      </c>
      <c r="Y34" s="8">
        <f t="shared" si="92"/>
        <v>103</v>
      </c>
      <c r="Z34" s="8">
        <f t="shared" si="92"/>
        <v>103</v>
      </c>
      <c r="AA34" s="8">
        <f t="shared" si="92"/>
        <v>103</v>
      </c>
      <c r="AB34" s="8">
        <f t="shared" si="92"/>
        <v>103</v>
      </c>
      <c r="AC34" s="8">
        <f t="shared" si="92"/>
        <v>103</v>
      </c>
      <c r="AD34" s="8">
        <f t="shared" si="92"/>
        <v>103</v>
      </c>
      <c r="AE34" s="8">
        <f t="shared" si="92"/>
        <v>103</v>
      </c>
      <c r="AF34" s="8">
        <f t="shared" si="92"/>
        <v>103</v>
      </c>
      <c r="AG34" s="8">
        <f t="shared" si="92"/>
        <v>103</v>
      </c>
      <c r="AH34" s="8">
        <f t="shared" si="92"/>
        <v>103</v>
      </c>
      <c r="AI34" s="29">
        <f t="shared" si="73"/>
        <v>1236</v>
      </c>
      <c r="AJ34" s="23">
        <f t="shared" si="56"/>
        <v>0.10824685385719887</v>
      </c>
      <c r="AL34" s="25" t="s">
        <v>39</v>
      </c>
      <c r="AM34" s="8">
        <f>$AY$34/12</f>
        <v>106.08999999999999</v>
      </c>
      <c r="AN34" s="8">
        <f>$AY$34/12</f>
        <v>106.08999999999999</v>
      </c>
      <c r="AO34" s="8">
        <f t="shared" ref="AO34:AX34" si="93">$AY$34/12</f>
        <v>106.08999999999999</v>
      </c>
      <c r="AP34" s="8">
        <f t="shared" si="93"/>
        <v>106.08999999999999</v>
      </c>
      <c r="AQ34" s="8">
        <f t="shared" si="93"/>
        <v>106.08999999999999</v>
      </c>
      <c r="AR34" s="8">
        <f t="shared" si="93"/>
        <v>106.08999999999999</v>
      </c>
      <c r="AS34" s="8">
        <f t="shared" si="93"/>
        <v>106.08999999999999</v>
      </c>
      <c r="AT34" s="8">
        <f t="shared" si="93"/>
        <v>106.08999999999999</v>
      </c>
      <c r="AU34" s="8">
        <f t="shared" si="93"/>
        <v>106.08999999999999</v>
      </c>
      <c r="AV34" s="8">
        <f t="shared" si="93"/>
        <v>106.08999999999999</v>
      </c>
      <c r="AW34" s="8">
        <f t="shared" si="93"/>
        <v>106.08999999999999</v>
      </c>
      <c r="AX34" s="8">
        <f t="shared" si="93"/>
        <v>106.08999999999999</v>
      </c>
      <c r="AY34" s="28">
        <f t="shared" si="75"/>
        <v>1273.08</v>
      </c>
      <c r="AZ34" s="23">
        <f t="shared" si="58"/>
        <v>0.10821703944286609</v>
      </c>
    </row>
    <row r="35" spans="2:52" ht="16.899999999999999" customHeight="1" x14ac:dyDescent="0.25">
      <c r="B35" s="124" t="s">
        <v>45</v>
      </c>
      <c r="C35" s="53" t="s">
        <v>117</v>
      </c>
      <c r="D35" s="101" t="s">
        <v>138</v>
      </c>
      <c r="F35" s="10" t="s">
        <v>31</v>
      </c>
      <c r="G35" s="46">
        <f t="shared" ref="G35:R35" si="94">SUM(G23:G34)</f>
        <v>840.22523268750001</v>
      </c>
      <c r="H35" s="47">
        <f t="shared" si="94"/>
        <v>840.22523268750001</v>
      </c>
      <c r="I35" s="47">
        <f t="shared" si="94"/>
        <v>940.22523268750001</v>
      </c>
      <c r="J35" s="47">
        <f t="shared" si="94"/>
        <v>940.22523268750001</v>
      </c>
      <c r="K35" s="47">
        <f t="shared" si="94"/>
        <v>940.22523268750001</v>
      </c>
      <c r="L35" s="47">
        <f t="shared" si="94"/>
        <v>940.22523268750001</v>
      </c>
      <c r="M35" s="47">
        <f t="shared" si="94"/>
        <v>940.22523268750001</v>
      </c>
      <c r="N35" s="47">
        <f t="shared" si="94"/>
        <v>940.22523268750001</v>
      </c>
      <c r="O35" s="47">
        <f t="shared" si="94"/>
        <v>940.22523268750001</v>
      </c>
      <c r="P35" s="47">
        <f t="shared" si="94"/>
        <v>940.22523268750001</v>
      </c>
      <c r="Q35" s="47">
        <f t="shared" si="94"/>
        <v>940.22523268750001</v>
      </c>
      <c r="R35" s="47">
        <f t="shared" si="94"/>
        <v>940.22523268750001</v>
      </c>
      <c r="S35" s="29">
        <f t="shared" si="1"/>
        <v>11082.702792250004</v>
      </c>
      <c r="T35" s="45">
        <f>SUM(T23:T34)</f>
        <v>0.99999999999999967</v>
      </c>
      <c r="U35" s="3"/>
      <c r="V35" s="95" t="s">
        <v>31</v>
      </c>
      <c r="W35" s="44">
        <f>SUM(W23:W34)</f>
        <v>951.52880965833333</v>
      </c>
      <c r="X35" s="44">
        <f t="shared" ref="X35:AH35" si="95">SUM(X23:X34)</f>
        <v>951.52880965833333</v>
      </c>
      <c r="Y35" s="44">
        <f t="shared" si="95"/>
        <v>951.52880965833333</v>
      </c>
      <c r="Z35" s="44">
        <f t="shared" si="95"/>
        <v>951.52880965833333</v>
      </c>
      <c r="AA35" s="44">
        <f t="shared" si="95"/>
        <v>951.52880965833333</v>
      </c>
      <c r="AB35" s="44">
        <f t="shared" si="95"/>
        <v>951.52880965833333</v>
      </c>
      <c r="AC35" s="44">
        <f t="shared" si="95"/>
        <v>951.52880965833333</v>
      </c>
      <c r="AD35" s="44">
        <f t="shared" si="95"/>
        <v>951.52880965833333</v>
      </c>
      <c r="AE35" s="44">
        <f t="shared" si="95"/>
        <v>951.52880965833333</v>
      </c>
      <c r="AF35" s="44">
        <f t="shared" si="95"/>
        <v>951.52880965833333</v>
      </c>
      <c r="AG35" s="44">
        <f t="shared" si="95"/>
        <v>951.52880965833333</v>
      </c>
      <c r="AH35" s="44">
        <f t="shared" si="95"/>
        <v>951.52880965833333</v>
      </c>
      <c r="AI35" s="29">
        <f>SUM(AI23:AI34)</f>
        <v>11418.345715899999</v>
      </c>
      <c r="AJ35" s="45">
        <v>1</v>
      </c>
      <c r="AK35" s="3"/>
      <c r="AL35" s="95" t="s">
        <v>31</v>
      </c>
      <c r="AM35" s="44">
        <f>$AY$35/12</f>
        <v>980.34469013552086</v>
      </c>
      <c r="AN35" s="44">
        <f>$AY$35/12</f>
        <v>980.34469013552086</v>
      </c>
      <c r="AO35" s="44">
        <f t="shared" ref="AO35:AX35" si="96">$AY$35/12</f>
        <v>980.34469013552086</v>
      </c>
      <c r="AP35" s="44">
        <f t="shared" si="96"/>
        <v>980.34469013552086</v>
      </c>
      <c r="AQ35" s="44">
        <f t="shared" si="96"/>
        <v>980.34469013552086</v>
      </c>
      <c r="AR35" s="44">
        <f t="shared" si="96"/>
        <v>980.34469013552086</v>
      </c>
      <c r="AS35" s="44">
        <f t="shared" si="96"/>
        <v>980.34469013552086</v>
      </c>
      <c r="AT35" s="44">
        <f t="shared" si="96"/>
        <v>980.34469013552086</v>
      </c>
      <c r="AU35" s="44">
        <f t="shared" si="96"/>
        <v>980.34469013552086</v>
      </c>
      <c r="AV35" s="44">
        <f t="shared" si="96"/>
        <v>980.34469013552086</v>
      </c>
      <c r="AW35" s="44">
        <f t="shared" si="96"/>
        <v>980.34469013552086</v>
      </c>
      <c r="AX35" s="44">
        <f t="shared" si="96"/>
        <v>980.34469013552086</v>
      </c>
      <c r="AY35" s="28">
        <f>SUM(AY23:AY34)</f>
        <v>11764.13628162625</v>
      </c>
      <c r="AZ35" s="45">
        <f>SUM(AZ23:AZ34)</f>
        <v>1</v>
      </c>
    </row>
    <row r="36" spans="2:52" ht="16.899999999999999" customHeight="1" x14ac:dyDescent="0.25">
      <c r="B36" s="18" t="s">
        <v>74</v>
      </c>
      <c r="C36" s="74">
        <v>0.05</v>
      </c>
      <c r="D36" s="5"/>
      <c r="F36" s="114" t="s">
        <v>36</v>
      </c>
      <c r="G36" s="115"/>
      <c r="H36" s="116"/>
      <c r="I36" s="116"/>
      <c r="J36" s="116"/>
      <c r="K36" s="116"/>
      <c r="L36" s="116"/>
      <c r="M36" s="116"/>
      <c r="N36" s="116"/>
      <c r="O36" s="116"/>
      <c r="P36" s="116"/>
      <c r="Q36" s="116"/>
      <c r="R36" s="116"/>
      <c r="S36" s="116"/>
      <c r="T36" s="23"/>
      <c r="V36" s="114" t="s">
        <v>36</v>
      </c>
      <c r="W36" s="115"/>
      <c r="X36" s="116"/>
      <c r="Y36" s="116"/>
      <c r="Z36" s="116"/>
      <c r="AA36" s="116"/>
      <c r="AB36" s="116"/>
      <c r="AC36" s="116"/>
      <c r="AD36" s="116"/>
      <c r="AE36" s="116"/>
      <c r="AF36" s="116"/>
      <c r="AG36" s="116"/>
      <c r="AH36" s="116"/>
      <c r="AI36" s="116"/>
      <c r="AJ36" s="23"/>
      <c r="AL36" s="114" t="s">
        <v>36</v>
      </c>
      <c r="AM36" s="115"/>
      <c r="AN36" s="116"/>
      <c r="AO36" s="116"/>
      <c r="AP36" s="116"/>
      <c r="AQ36" s="116"/>
      <c r="AR36" s="116"/>
      <c r="AS36" s="116"/>
      <c r="AT36" s="116"/>
      <c r="AU36" s="116"/>
      <c r="AV36" s="116"/>
      <c r="AW36" s="116"/>
      <c r="AX36" s="116"/>
      <c r="AY36" s="125"/>
      <c r="AZ36" s="23"/>
    </row>
    <row r="37" spans="2:52" ht="16.899999999999999" customHeight="1" x14ac:dyDescent="0.25">
      <c r="B37" s="18"/>
      <c r="C37" s="126"/>
      <c r="D37" s="5"/>
      <c r="F37" s="7" t="s">
        <v>199</v>
      </c>
      <c r="G37" s="9">
        <f t="shared" ref="G37:R37" si="97">$C$58</f>
        <v>0</v>
      </c>
      <c r="H37" s="9">
        <f t="shared" si="97"/>
        <v>0</v>
      </c>
      <c r="I37" s="9">
        <f t="shared" si="97"/>
        <v>0</v>
      </c>
      <c r="J37" s="9">
        <f t="shared" si="97"/>
        <v>0</v>
      </c>
      <c r="K37" s="9">
        <f t="shared" si="97"/>
        <v>0</v>
      </c>
      <c r="L37" s="9">
        <f t="shared" si="97"/>
        <v>0</v>
      </c>
      <c r="M37" s="9">
        <f t="shared" si="97"/>
        <v>0</v>
      </c>
      <c r="N37" s="9">
        <f t="shared" si="97"/>
        <v>0</v>
      </c>
      <c r="O37" s="9">
        <f t="shared" si="97"/>
        <v>0</v>
      </c>
      <c r="P37" s="9">
        <f t="shared" si="97"/>
        <v>0</v>
      </c>
      <c r="Q37" s="9">
        <f t="shared" si="97"/>
        <v>0</v>
      </c>
      <c r="R37" s="32">
        <f t="shared" si="97"/>
        <v>0</v>
      </c>
      <c r="S37" s="27">
        <f t="shared" si="1"/>
        <v>0</v>
      </c>
      <c r="T37" s="23"/>
      <c r="V37" s="7" t="s">
        <v>200</v>
      </c>
      <c r="W37" s="9">
        <f t="shared" ref="W37:AH37" si="98">$C$59</f>
        <v>0</v>
      </c>
      <c r="X37" s="9">
        <f t="shared" si="98"/>
        <v>0</v>
      </c>
      <c r="Y37" s="9">
        <f t="shared" si="98"/>
        <v>0</v>
      </c>
      <c r="Z37" s="9">
        <f t="shared" si="98"/>
        <v>0</v>
      </c>
      <c r="AA37" s="9">
        <f t="shared" si="98"/>
        <v>0</v>
      </c>
      <c r="AB37" s="9">
        <f t="shared" si="98"/>
        <v>0</v>
      </c>
      <c r="AC37" s="9">
        <f t="shared" si="98"/>
        <v>0</v>
      </c>
      <c r="AD37" s="9">
        <f t="shared" si="98"/>
        <v>0</v>
      </c>
      <c r="AE37" s="9">
        <f t="shared" si="98"/>
        <v>0</v>
      </c>
      <c r="AF37" s="9">
        <f t="shared" si="98"/>
        <v>0</v>
      </c>
      <c r="AG37" s="9">
        <f t="shared" si="98"/>
        <v>0</v>
      </c>
      <c r="AH37" s="9">
        <f t="shared" si="98"/>
        <v>0</v>
      </c>
      <c r="AI37" s="27">
        <f>SUM(W37:AH37)</f>
        <v>0</v>
      </c>
      <c r="AJ37" s="23"/>
      <c r="AL37" s="7" t="s">
        <v>200</v>
      </c>
      <c r="AM37" s="9">
        <f t="shared" ref="AM37:AX37" si="99">$C$60</f>
        <v>0</v>
      </c>
      <c r="AN37" s="9">
        <f t="shared" si="99"/>
        <v>0</v>
      </c>
      <c r="AO37" s="9">
        <f t="shared" si="99"/>
        <v>0</v>
      </c>
      <c r="AP37" s="9">
        <f t="shared" si="99"/>
        <v>0</v>
      </c>
      <c r="AQ37" s="9">
        <f t="shared" si="99"/>
        <v>0</v>
      </c>
      <c r="AR37" s="9">
        <f t="shared" si="99"/>
        <v>0</v>
      </c>
      <c r="AS37" s="9">
        <f t="shared" si="99"/>
        <v>0</v>
      </c>
      <c r="AT37" s="9">
        <f t="shared" si="99"/>
        <v>0</v>
      </c>
      <c r="AU37" s="9">
        <f t="shared" si="99"/>
        <v>0</v>
      </c>
      <c r="AV37" s="9">
        <f t="shared" si="99"/>
        <v>0</v>
      </c>
      <c r="AW37" s="9">
        <f t="shared" si="99"/>
        <v>0</v>
      </c>
      <c r="AX37" s="9">
        <f t="shared" si="99"/>
        <v>0</v>
      </c>
      <c r="AY37" s="27">
        <f>SUM(AM37:AX37)</f>
        <v>0</v>
      </c>
      <c r="AZ37" s="23"/>
    </row>
    <row r="38" spans="2:52" ht="16.899999999999999" customHeight="1" x14ac:dyDescent="0.25">
      <c r="B38" s="117"/>
      <c r="C38" s="127"/>
      <c r="D38" s="94"/>
      <c r="E38" s="128"/>
      <c r="F38" s="25" t="s">
        <v>87</v>
      </c>
      <c r="G38" s="9">
        <f t="shared" ref="G38:R38" si="100">$C$61</f>
        <v>100</v>
      </c>
      <c r="H38" s="9">
        <f t="shared" si="100"/>
        <v>100</v>
      </c>
      <c r="I38" s="9">
        <f t="shared" si="100"/>
        <v>100</v>
      </c>
      <c r="J38" s="9">
        <f t="shared" si="100"/>
        <v>100</v>
      </c>
      <c r="K38" s="9">
        <f t="shared" si="100"/>
        <v>100</v>
      </c>
      <c r="L38" s="9">
        <f t="shared" si="100"/>
        <v>100</v>
      </c>
      <c r="M38" s="9">
        <f t="shared" si="100"/>
        <v>100</v>
      </c>
      <c r="N38" s="9">
        <f t="shared" si="100"/>
        <v>100</v>
      </c>
      <c r="O38" s="9">
        <f t="shared" si="100"/>
        <v>100</v>
      </c>
      <c r="P38" s="9">
        <f t="shared" si="100"/>
        <v>100</v>
      </c>
      <c r="Q38" s="9">
        <f t="shared" si="100"/>
        <v>100</v>
      </c>
      <c r="R38" s="32">
        <f t="shared" si="100"/>
        <v>100</v>
      </c>
      <c r="S38" s="27">
        <f t="shared" si="1"/>
        <v>1200</v>
      </c>
      <c r="T38" s="23"/>
      <c r="V38" s="25" t="s">
        <v>87</v>
      </c>
      <c r="W38" s="9">
        <f>$AI$38/12</f>
        <v>103</v>
      </c>
      <c r="X38" s="9">
        <f t="shared" ref="X38:AH38" si="101">$AI$38/12</f>
        <v>103</v>
      </c>
      <c r="Y38" s="9">
        <f t="shared" si="101"/>
        <v>103</v>
      </c>
      <c r="Z38" s="9">
        <f t="shared" si="101"/>
        <v>103</v>
      </c>
      <c r="AA38" s="9">
        <f t="shared" si="101"/>
        <v>103</v>
      </c>
      <c r="AB38" s="9">
        <f t="shared" si="101"/>
        <v>103</v>
      </c>
      <c r="AC38" s="9">
        <f t="shared" si="101"/>
        <v>103</v>
      </c>
      <c r="AD38" s="9">
        <f t="shared" si="101"/>
        <v>103</v>
      </c>
      <c r="AE38" s="9">
        <f t="shared" si="101"/>
        <v>103</v>
      </c>
      <c r="AF38" s="9">
        <f>$AI$38/12</f>
        <v>103</v>
      </c>
      <c r="AG38" s="9">
        <f t="shared" si="101"/>
        <v>103</v>
      </c>
      <c r="AH38" s="32">
        <f t="shared" si="101"/>
        <v>103</v>
      </c>
      <c r="AI38" s="27">
        <f>S38*$C$54</f>
        <v>1236</v>
      </c>
      <c r="AJ38" s="23"/>
      <c r="AL38" s="25" t="s">
        <v>87</v>
      </c>
      <c r="AM38" s="9">
        <f>$AY$38/12</f>
        <v>106.08999999999999</v>
      </c>
      <c r="AN38" s="9">
        <f t="shared" ref="AN38:AX38" si="102">$AY$38/12</f>
        <v>106.08999999999999</v>
      </c>
      <c r="AO38" s="9">
        <f t="shared" si="102"/>
        <v>106.08999999999999</v>
      </c>
      <c r="AP38" s="9">
        <f t="shared" si="102"/>
        <v>106.08999999999999</v>
      </c>
      <c r="AQ38" s="9">
        <f t="shared" si="102"/>
        <v>106.08999999999999</v>
      </c>
      <c r="AR38" s="9">
        <f t="shared" si="102"/>
        <v>106.08999999999999</v>
      </c>
      <c r="AS38" s="9">
        <f t="shared" si="102"/>
        <v>106.08999999999999</v>
      </c>
      <c r="AT38" s="9">
        <f t="shared" si="102"/>
        <v>106.08999999999999</v>
      </c>
      <c r="AU38" s="9">
        <f t="shared" si="102"/>
        <v>106.08999999999999</v>
      </c>
      <c r="AV38" s="9">
        <f>$AY$38/12</f>
        <v>106.08999999999999</v>
      </c>
      <c r="AW38" s="9">
        <f t="shared" si="102"/>
        <v>106.08999999999999</v>
      </c>
      <c r="AX38" s="32">
        <f t="shared" si="102"/>
        <v>106.08999999999999</v>
      </c>
      <c r="AY38" s="27">
        <f>AI38*$C$55</f>
        <v>1273.08</v>
      </c>
      <c r="AZ38" s="23"/>
    </row>
    <row r="39" spans="2:52" ht="16.899999999999999" customHeight="1" x14ac:dyDescent="0.25">
      <c r="B39" s="129" t="s">
        <v>35</v>
      </c>
      <c r="C39" s="5" t="s">
        <v>37</v>
      </c>
      <c r="D39" s="1"/>
      <c r="E39" s="128"/>
      <c r="F39" s="25" t="s">
        <v>32</v>
      </c>
      <c r="G39" s="9">
        <f t="shared" ref="G39:R39" si="103">$C$62</f>
        <v>100</v>
      </c>
      <c r="H39" s="9">
        <f t="shared" si="103"/>
        <v>100</v>
      </c>
      <c r="I39" s="9">
        <f t="shared" si="103"/>
        <v>100</v>
      </c>
      <c r="J39" s="9">
        <f t="shared" si="103"/>
        <v>100</v>
      </c>
      <c r="K39" s="9">
        <f t="shared" si="103"/>
        <v>100</v>
      </c>
      <c r="L39" s="9">
        <f t="shared" si="103"/>
        <v>100</v>
      </c>
      <c r="M39" s="9">
        <f t="shared" si="103"/>
        <v>100</v>
      </c>
      <c r="N39" s="9">
        <f t="shared" si="103"/>
        <v>100</v>
      </c>
      <c r="O39" s="9">
        <f t="shared" si="103"/>
        <v>100</v>
      </c>
      <c r="P39" s="9">
        <f t="shared" si="103"/>
        <v>100</v>
      </c>
      <c r="Q39" s="9">
        <f t="shared" si="103"/>
        <v>100</v>
      </c>
      <c r="R39" s="32">
        <f t="shared" si="103"/>
        <v>100</v>
      </c>
      <c r="S39" s="27">
        <f t="shared" si="1"/>
        <v>1200</v>
      </c>
      <c r="T39" s="23"/>
      <c r="V39" s="25" t="s">
        <v>32</v>
      </c>
      <c r="W39" s="9">
        <f>$AI$39/12</f>
        <v>103</v>
      </c>
      <c r="X39" s="9">
        <f t="shared" ref="X39:AH39" si="104">$AI$39/12</f>
        <v>103</v>
      </c>
      <c r="Y39" s="9">
        <f t="shared" si="104"/>
        <v>103</v>
      </c>
      <c r="Z39" s="9">
        <f t="shared" si="104"/>
        <v>103</v>
      </c>
      <c r="AA39" s="9">
        <f t="shared" si="104"/>
        <v>103</v>
      </c>
      <c r="AB39" s="9">
        <f t="shared" si="104"/>
        <v>103</v>
      </c>
      <c r="AC39" s="9">
        <f t="shared" si="104"/>
        <v>103</v>
      </c>
      <c r="AD39" s="9">
        <f t="shared" si="104"/>
        <v>103</v>
      </c>
      <c r="AE39" s="9">
        <f t="shared" si="104"/>
        <v>103</v>
      </c>
      <c r="AF39" s="9">
        <f>$AI$39/12</f>
        <v>103</v>
      </c>
      <c r="AG39" s="9">
        <f t="shared" si="104"/>
        <v>103</v>
      </c>
      <c r="AH39" s="32">
        <f t="shared" si="104"/>
        <v>103</v>
      </c>
      <c r="AI39" s="27">
        <f>S39*$C$54</f>
        <v>1236</v>
      </c>
      <c r="AJ39" s="23"/>
      <c r="AL39" s="25" t="s">
        <v>32</v>
      </c>
      <c r="AM39" s="9">
        <f>$AY$39/12</f>
        <v>106.08999999999999</v>
      </c>
      <c r="AN39" s="9">
        <f t="shared" ref="AN39:AX39" si="105">$AY$39/12</f>
        <v>106.08999999999999</v>
      </c>
      <c r="AO39" s="9">
        <f t="shared" si="105"/>
        <v>106.08999999999999</v>
      </c>
      <c r="AP39" s="9">
        <f t="shared" si="105"/>
        <v>106.08999999999999</v>
      </c>
      <c r="AQ39" s="9">
        <f t="shared" si="105"/>
        <v>106.08999999999999</v>
      </c>
      <c r="AR39" s="9">
        <f t="shared" si="105"/>
        <v>106.08999999999999</v>
      </c>
      <c r="AS39" s="9">
        <f t="shared" si="105"/>
        <v>106.08999999999999</v>
      </c>
      <c r="AT39" s="9">
        <f t="shared" si="105"/>
        <v>106.08999999999999</v>
      </c>
      <c r="AU39" s="9">
        <f t="shared" si="105"/>
        <v>106.08999999999999</v>
      </c>
      <c r="AV39" s="9">
        <f>$AY$39/12</f>
        <v>106.08999999999999</v>
      </c>
      <c r="AW39" s="9">
        <f t="shared" si="105"/>
        <v>106.08999999999999</v>
      </c>
      <c r="AX39" s="32">
        <f t="shared" si="105"/>
        <v>106.08999999999999</v>
      </c>
      <c r="AY39" s="27">
        <f>AI39*$C$55</f>
        <v>1273.08</v>
      </c>
      <c r="AZ39" s="23"/>
    </row>
    <row r="40" spans="2:52" ht="16.899999999999999" customHeight="1" x14ac:dyDescent="0.25">
      <c r="B40" s="130" t="s">
        <v>130</v>
      </c>
      <c r="C40" s="76">
        <v>100</v>
      </c>
      <c r="D40" s="94"/>
      <c r="F40" s="25" t="s">
        <v>79</v>
      </c>
      <c r="G40" s="33">
        <f t="shared" ref="G40:R40" si="106">$C$63*G20</f>
        <v>3.0031025000000003E-2</v>
      </c>
      <c r="H40" s="33">
        <f t="shared" si="106"/>
        <v>3.0031025000000003E-2</v>
      </c>
      <c r="I40" s="33">
        <f t="shared" si="106"/>
        <v>3.0031025000000003E-2</v>
      </c>
      <c r="J40" s="33">
        <f t="shared" si="106"/>
        <v>3.0031025000000003E-2</v>
      </c>
      <c r="K40" s="33">
        <f t="shared" si="106"/>
        <v>3.0031025000000003E-2</v>
      </c>
      <c r="L40" s="33">
        <f t="shared" si="106"/>
        <v>3.0031025000000003E-2</v>
      </c>
      <c r="M40" s="33">
        <f t="shared" si="106"/>
        <v>3.0031025000000003E-2</v>
      </c>
      <c r="N40" s="33">
        <f t="shared" si="106"/>
        <v>3.0031025000000003E-2</v>
      </c>
      <c r="O40" s="33">
        <f t="shared" si="106"/>
        <v>3.0031025000000003E-2</v>
      </c>
      <c r="P40" s="33">
        <f t="shared" si="106"/>
        <v>3.0031025000000003E-2</v>
      </c>
      <c r="Q40" s="33">
        <f t="shared" si="106"/>
        <v>3.0031025000000003E-2</v>
      </c>
      <c r="R40" s="33">
        <f t="shared" si="106"/>
        <v>3.0031025000000003E-2</v>
      </c>
      <c r="S40" s="27">
        <f t="shared" si="1"/>
        <v>0.36037229999999992</v>
      </c>
      <c r="T40" s="23"/>
      <c r="V40" s="25" t="s">
        <v>79</v>
      </c>
      <c r="W40" s="33">
        <f t="shared" ref="W40:AH40" si="107">$C$63*W20</f>
        <v>6.6063510000000006E-2</v>
      </c>
      <c r="X40" s="33">
        <f t="shared" si="107"/>
        <v>6.6063510000000006E-2</v>
      </c>
      <c r="Y40" s="33">
        <f t="shared" si="107"/>
        <v>6.6063510000000006E-2</v>
      </c>
      <c r="Z40" s="33">
        <f t="shared" si="107"/>
        <v>6.6063510000000006E-2</v>
      </c>
      <c r="AA40" s="33">
        <f t="shared" si="107"/>
        <v>6.6063510000000006E-2</v>
      </c>
      <c r="AB40" s="33">
        <f t="shared" si="107"/>
        <v>6.6063510000000006E-2</v>
      </c>
      <c r="AC40" s="33">
        <f t="shared" si="107"/>
        <v>6.6063510000000006E-2</v>
      </c>
      <c r="AD40" s="33">
        <f t="shared" si="107"/>
        <v>6.6063510000000006E-2</v>
      </c>
      <c r="AE40" s="33">
        <f t="shared" si="107"/>
        <v>6.6063510000000006E-2</v>
      </c>
      <c r="AF40" s="33">
        <f t="shared" si="107"/>
        <v>6.6063510000000006E-2</v>
      </c>
      <c r="AG40" s="33">
        <f t="shared" si="107"/>
        <v>6.6063510000000006E-2</v>
      </c>
      <c r="AH40" s="33">
        <f t="shared" si="107"/>
        <v>6.6063510000000006E-2</v>
      </c>
      <c r="AI40" s="27">
        <f>S40*$C$54</f>
        <v>0.37118346899999993</v>
      </c>
      <c r="AJ40" s="23"/>
      <c r="AL40" s="25" t="s">
        <v>79</v>
      </c>
      <c r="AM40" s="33">
        <f t="shared" ref="AM40:AX40" si="108">$C$63*AM20</f>
        <v>0.104047573625</v>
      </c>
      <c r="AN40" s="33">
        <f t="shared" si="108"/>
        <v>0.104047573625</v>
      </c>
      <c r="AO40" s="33">
        <f t="shared" si="108"/>
        <v>0.104047573625</v>
      </c>
      <c r="AP40" s="33">
        <f t="shared" si="108"/>
        <v>0.104047573625</v>
      </c>
      <c r="AQ40" s="33">
        <f t="shared" si="108"/>
        <v>0.104047573625</v>
      </c>
      <c r="AR40" s="33">
        <f t="shared" si="108"/>
        <v>0.104047573625</v>
      </c>
      <c r="AS40" s="33">
        <f t="shared" si="108"/>
        <v>0.104047573625</v>
      </c>
      <c r="AT40" s="33">
        <f t="shared" si="108"/>
        <v>0.104047573625</v>
      </c>
      <c r="AU40" s="33">
        <f t="shared" si="108"/>
        <v>0.104047573625</v>
      </c>
      <c r="AV40" s="33">
        <f t="shared" si="108"/>
        <v>0.104047573625</v>
      </c>
      <c r="AW40" s="33">
        <f t="shared" si="108"/>
        <v>0.104047573625</v>
      </c>
      <c r="AX40" s="33">
        <f t="shared" si="108"/>
        <v>0.104047573625</v>
      </c>
      <c r="AY40" s="27">
        <f>SUM(AM40:AX40)</f>
        <v>1.2485708834999996</v>
      </c>
      <c r="AZ40" s="23"/>
    </row>
    <row r="41" spans="2:52" ht="16.899999999999999" customHeight="1" x14ac:dyDescent="0.25">
      <c r="B41" s="6" t="s">
        <v>57</v>
      </c>
      <c r="C41" s="76">
        <v>100</v>
      </c>
      <c r="D41" s="101" t="s">
        <v>77</v>
      </c>
      <c r="F41" s="25" t="s">
        <v>5</v>
      </c>
      <c r="G41" s="9">
        <f t="shared" ref="G41:R41" si="109">$C$64*G20</f>
        <v>0</v>
      </c>
      <c r="H41" s="9">
        <f t="shared" si="109"/>
        <v>0</v>
      </c>
      <c r="I41" s="9">
        <f t="shared" si="109"/>
        <v>0</v>
      </c>
      <c r="J41" s="9">
        <f t="shared" si="109"/>
        <v>0</v>
      </c>
      <c r="K41" s="9">
        <f t="shared" si="109"/>
        <v>0</v>
      </c>
      <c r="L41" s="9">
        <f t="shared" si="109"/>
        <v>0</v>
      </c>
      <c r="M41" s="9">
        <f t="shared" si="109"/>
        <v>0</v>
      </c>
      <c r="N41" s="9">
        <f t="shared" si="109"/>
        <v>0</v>
      </c>
      <c r="O41" s="9">
        <f t="shared" si="109"/>
        <v>0</v>
      </c>
      <c r="P41" s="9">
        <f t="shared" si="109"/>
        <v>0</v>
      </c>
      <c r="Q41" s="9">
        <f t="shared" si="109"/>
        <v>0</v>
      </c>
      <c r="R41" s="9">
        <f t="shared" si="109"/>
        <v>0</v>
      </c>
      <c r="S41" s="27">
        <f t="shared" si="1"/>
        <v>0</v>
      </c>
      <c r="T41" s="23"/>
      <c r="V41" s="25" t="s">
        <v>5</v>
      </c>
      <c r="W41" s="9">
        <f t="shared" ref="W41:AH41" si="110">$C$64*W20</f>
        <v>0</v>
      </c>
      <c r="X41" s="9">
        <f t="shared" si="110"/>
        <v>0</v>
      </c>
      <c r="Y41" s="9">
        <f t="shared" si="110"/>
        <v>0</v>
      </c>
      <c r="Z41" s="9">
        <f t="shared" si="110"/>
        <v>0</v>
      </c>
      <c r="AA41" s="9">
        <f t="shared" si="110"/>
        <v>0</v>
      </c>
      <c r="AB41" s="9">
        <f t="shared" si="110"/>
        <v>0</v>
      </c>
      <c r="AC41" s="9">
        <f t="shared" si="110"/>
        <v>0</v>
      </c>
      <c r="AD41" s="9">
        <f t="shared" si="110"/>
        <v>0</v>
      </c>
      <c r="AE41" s="9">
        <f t="shared" si="110"/>
        <v>0</v>
      </c>
      <c r="AF41" s="9">
        <f t="shared" si="110"/>
        <v>0</v>
      </c>
      <c r="AG41" s="9">
        <f t="shared" si="110"/>
        <v>0</v>
      </c>
      <c r="AH41" s="9">
        <f t="shared" si="110"/>
        <v>0</v>
      </c>
      <c r="AI41" s="27">
        <f>S41*$C$54</f>
        <v>0</v>
      </c>
      <c r="AJ41" s="23"/>
      <c r="AL41" s="25" t="s">
        <v>5</v>
      </c>
      <c r="AM41" s="9">
        <f t="shared" ref="AM41:AX41" si="111">$C$64*AM20</f>
        <v>0</v>
      </c>
      <c r="AN41" s="9">
        <f t="shared" si="111"/>
        <v>0</v>
      </c>
      <c r="AO41" s="9">
        <f t="shared" si="111"/>
        <v>0</v>
      </c>
      <c r="AP41" s="9">
        <f t="shared" si="111"/>
        <v>0</v>
      </c>
      <c r="AQ41" s="9">
        <f t="shared" si="111"/>
        <v>0</v>
      </c>
      <c r="AR41" s="9">
        <f t="shared" si="111"/>
        <v>0</v>
      </c>
      <c r="AS41" s="9">
        <f t="shared" si="111"/>
        <v>0</v>
      </c>
      <c r="AT41" s="9">
        <f t="shared" si="111"/>
        <v>0</v>
      </c>
      <c r="AU41" s="9">
        <f t="shared" si="111"/>
        <v>0</v>
      </c>
      <c r="AV41" s="9">
        <f t="shared" si="111"/>
        <v>0</v>
      </c>
      <c r="AW41" s="9">
        <f t="shared" si="111"/>
        <v>0</v>
      </c>
      <c r="AX41" s="9">
        <f t="shared" si="111"/>
        <v>0</v>
      </c>
      <c r="AY41" s="27">
        <f>SUM(AM41:AX41)</f>
        <v>0</v>
      </c>
      <c r="AZ41" s="23"/>
    </row>
    <row r="42" spans="2:52" ht="16.899999999999999" customHeight="1" x14ac:dyDescent="0.25">
      <c r="B42" s="6" t="s">
        <v>58</v>
      </c>
      <c r="C42" s="76">
        <v>100</v>
      </c>
      <c r="D42" s="101"/>
      <c r="F42" s="26" t="s">
        <v>50</v>
      </c>
      <c r="G42" s="131">
        <f t="shared" ref="G42:R42" si="112">$C$96</f>
        <v>1400</v>
      </c>
      <c r="H42" s="131">
        <f t="shared" si="112"/>
        <v>1400</v>
      </c>
      <c r="I42" s="131">
        <f t="shared" si="112"/>
        <v>1400</v>
      </c>
      <c r="J42" s="131">
        <f t="shared" si="112"/>
        <v>1400</v>
      </c>
      <c r="K42" s="131">
        <f t="shared" si="112"/>
        <v>1400</v>
      </c>
      <c r="L42" s="131">
        <f t="shared" si="112"/>
        <v>1400</v>
      </c>
      <c r="M42" s="131">
        <f t="shared" si="112"/>
        <v>1400</v>
      </c>
      <c r="N42" s="131">
        <f t="shared" si="112"/>
        <v>1400</v>
      </c>
      <c r="O42" s="131">
        <f t="shared" si="112"/>
        <v>1400</v>
      </c>
      <c r="P42" s="131">
        <f t="shared" si="112"/>
        <v>1400</v>
      </c>
      <c r="Q42" s="131">
        <f t="shared" si="112"/>
        <v>1400</v>
      </c>
      <c r="R42" s="132">
        <f t="shared" si="112"/>
        <v>1400</v>
      </c>
      <c r="S42" s="133">
        <f t="shared" si="1"/>
        <v>16800</v>
      </c>
      <c r="T42" s="23"/>
      <c r="V42" s="25" t="s">
        <v>50</v>
      </c>
      <c r="W42" s="9">
        <f t="shared" ref="W42:AH42" si="113">$AI$42/12</f>
        <v>1442</v>
      </c>
      <c r="X42" s="9">
        <f t="shared" si="113"/>
        <v>1442</v>
      </c>
      <c r="Y42" s="9">
        <f t="shared" si="113"/>
        <v>1442</v>
      </c>
      <c r="Z42" s="9">
        <f t="shared" si="113"/>
        <v>1442</v>
      </c>
      <c r="AA42" s="9">
        <f t="shared" si="113"/>
        <v>1442</v>
      </c>
      <c r="AB42" s="9">
        <f t="shared" si="113"/>
        <v>1442</v>
      </c>
      <c r="AC42" s="9">
        <f t="shared" si="113"/>
        <v>1442</v>
      </c>
      <c r="AD42" s="9">
        <f t="shared" si="113"/>
        <v>1442</v>
      </c>
      <c r="AE42" s="9">
        <f t="shared" si="113"/>
        <v>1442</v>
      </c>
      <c r="AF42" s="9">
        <f t="shared" si="113"/>
        <v>1442</v>
      </c>
      <c r="AG42" s="9">
        <f t="shared" si="113"/>
        <v>1442</v>
      </c>
      <c r="AH42" s="32">
        <f t="shared" si="113"/>
        <v>1442</v>
      </c>
      <c r="AI42" s="27">
        <f>S42*$C$54</f>
        <v>17304</v>
      </c>
      <c r="AJ42" s="23"/>
      <c r="AL42" s="25" t="s">
        <v>50</v>
      </c>
      <c r="AM42" s="9">
        <f>$AY$42/12</f>
        <v>1485.26</v>
      </c>
      <c r="AN42" s="9">
        <f t="shared" ref="AN42:AX42" si="114">$AY$42/12</f>
        <v>1485.26</v>
      </c>
      <c r="AO42" s="9">
        <f t="shared" si="114"/>
        <v>1485.26</v>
      </c>
      <c r="AP42" s="9">
        <f t="shared" si="114"/>
        <v>1485.26</v>
      </c>
      <c r="AQ42" s="9">
        <f t="shared" si="114"/>
        <v>1485.26</v>
      </c>
      <c r="AR42" s="9">
        <f t="shared" si="114"/>
        <v>1485.26</v>
      </c>
      <c r="AS42" s="9">
        <f t="shared" si="114"/>
        <v>1485.26</v>
      </c>
      <c r="AT42" s="9">
        <f t="shared" si="114"/>
        <v>1485.26</v>
      </c>
      <c r="AU42" s="9">
        <f t="shared" si="114"/>
        <v>1485.26</v>
      </c>
      <c r="AV42" s="9">
        <f>$AY$42/12</f>
        <v>1485.26</v>
      </c>
      <c r="AW42" s="9">
        <f t="shared" si="114"/>
        <v>1485.26</v>
      </c>
      <c r="AX42" s="32">
        <f t="shared" si="114"/>
        <v>1485.26</v>
      </c>
      <c r="AY42" s="27">
        <f>AI42*$C$55</f>
        <v>17823.12</v>
      </c>
      <c r="AZ42" s="23"/>
    </row>
    <row r="43" spans="2:52" ht="16.899999999999999" customHeight="1" x14ac:dyDescent="0.25">
      <c r="B43" s="6" t="s">
        <v>25</v>
      </c>
      <c r="C43" s="74">
        <v>0.2</v>
      </c>
      <c r="D43" s="101"/>
      <c r="F43" s="10" t="s">
        <v>33</v>
      </c>
      <c r="G43" s="48">
        <f t="shared" ref="G43:R43" si="115">SUM(G37:G42)</f>
        <v>1600.030031025</v>
      </c>
      <c r="H43" s="48">
        <f t="shared" si="115"/>
        <v>1600.030031025</v>
      </c>
      <c r="I43" s="48">
        <f t="shared" si="115"/>
        <v>1600.030031025</v>
      </c>
      <c r="J43" s="48">
        <f t="shared" si="115"/>
        <v>1600.030031025</v>
      </c>
      <c r="K43" s="48">
        <f t="shared" si="115"/>
        <v>1600.030031025</v>
      </c>
      <c r="L43" s="48">
        <f t="shared" si="115"/>
        <v>1600.030031025</v>
      </c>
      <c r="M43" s="48">
        <f t="shared" si="115"/>
        <v>1600.030031025</v>
      </c>
      <c r="N43" s="48">
        <f t="shared" si="115"/>
        <v>1600.030031025</v>
      </c>
      <c r="O43" s="48">
        <f t="shared" si="115"/>
        <v>1600.030031025</v>
      </c>
      <c r="P43" s="48">
        <f t="shared" si="115"/>
        <v>1600.030031025</v>
      </c>
      <c r="Q43" s="48">
        <f t="shared" si="115"/>
        <v>1600.030031025</v>
      </c>
      <c r="R43" s="27">
        <f t="shared" si="115"/>
        <v>1600.030031025</v>
      </c>
      <c r="S43" s="27">
        <f t="shared" si="1"/>
        <v>19200.360372300001</v>
      </c>
      <c r="T43" s="45"/>
      <c r="U43" s="3"/>
      <c r="V43" s="134" t="s">
        <v>33</v>
      </c>
      <c r="W43" s="49">
        <f>SUM(W37:W42)</f>
        <v>1648.06606351</v>
      </c>
      <c r="X43" s="49">
        <f t="shared" ref="X43:AH43" si="116">SUM(X37:X42)</f>
        <v>1648.06606351</v>
      </c>
      <c r="Y43" s="49">
        <f t="shared" si="116"/>
        <v>1648.06606351</v>
      </c>
      <c r="Z43" s="49">
        <f t="shared" si="116"/>
        <v>1648.06606351</v>
      </c>
      <c r="AA43" s="49">
        <f t="shared" si="116"/>
        <v>1648.06606351</v>
      </c>
      <c r="AB43" s="49">
        <f t="shared" si="116"/>
        <v>1648.06606351</v>
      </c>
      <c r="AC43" s="49">
        <f t="shared" si="116"/>
        <v>1648.06606351</v>
      </c>
      <c r="AD43" s="49">
        <f t="shared" si="116"/>
        <v>1648.06606351</v>
      </c>
      <c r="AE43" s="49">
        <f t="shared" si="116"/>
        <v>1648.06606351</v>
      </c>
      <c r="AF43" s="49">
        <f t="shared" si="116"/>
        <v>1648.06606351</v>
      </c>
      <c r="AG43" s="49">
        <f t="shared" si="116"/>
        <v>1648.06606351</v>
      </c>
      <c r="AH43" s="49">
        <f t="shared" si="116"/>
        <v>1648.06606351</v>
      </c>
      <c r="AI43" s="31">
        <f>SUM(AI37:AI42)</f>
        <v>19776.371183469</v>
      </c>
      <c r="AJ43" s="45"/>
      <c r="AK43" s="3"/>
      <c r="AL43" s="134" t="s">
        <v>33</v>
      </c>
      <c r="AM43" s="49">
        <f>$AY$43/12</f>
        <v>1697.544047573625</v>
      </c>
      <c r="AN43" s="49">
        <f t="shared" ref="AN43:AX43" si="117">$AY$43/12</f>
        <v>1697.544047573625</v>
      </c>
      <c r="AO43" s="49">
        <f t="shared" si="117"/>
        <v>1697.544047573625</v>
      </c>
      <c r="AP43" s="49">
        <f t="shared" si="117"/>
        <v>1697.544047573625</v>
      </c>
      <c r="AQ43" s="49">
        <f t="shared" si="117"/>
        <v>1697.544047573625</v>
      </c>
      <c r="AR43" s="49">
        <f t="shared" si="117"/>
        <v>1697.544047573625</v>
      </c>
      <c r="AS43" s="49">
        <f t="shared" si="117"/>
        <v>1697.544047573625</v>
      </c>
      <c r="AT43" s="49">
        <f t="shared" si="117"/>
        <v>1697.544047573625</v>
      </c>
      <c r="AU43" s="49">
        <f t="shared" si="117"/>
        <v>1697.544047573625</v>
      </c>
      <c r="AV43" s="49">
        <f>$AY$43/12</f>
        <v>1697.544047573625</v>
      </c>
      <c r="AW43" s="49">
        <f t="shared" si="117"/>
        <v>1697.544047573625</v>
      </c>
      <c r="AX43" s="50">
        <f t="shared" si="117"/>
        <v>1697.544047573625</v>
      </c>
      <c r="AY43" s="31">
        <f>SUM(AY37:AY42)</f>
        <v>20370.5285708835</v>
      </c>
      <c r="AZ43" s="45"/>
    </row>
    <row r="44" spans="2:52" ht="16.899999999999999" customHeight="1" x14ac:dyDescent="0.25">
      <c r="B44" s="6" t="s">
        <v>4</v>
      </c>
      <c r="C44" s="74">
        <v>0.04</v>
      </c>
      <c r="D44" s="101" t="s">
        <v>157</v>
      </c>
      <c r="F44" s="10" t="s">
        <v>121</v>
      </c>
      <c r="G44" s="51">
        <f t="shared" ref="G44:S44" si="118">G21-G35-G43</f>
        <v>-2437.25216166875</v>
      </c>
      <c r="H44" s="51">
        <f t="shared" si="118"/>
        <v>-2437.25216166875</v>
      </c>
      <c r="I44" s="51">
        <f t="shared" si="118"/>
        <v>-2537.25216166875</v>
      </c>
      <c r="J44" s="51">
        <f t="shared" si="118"/>
        <v>-2537.25216166875</v>
      </c>
      <c r="K44" s="51">
        <f t="shared" si="118"/>
        <v>-2537.25216166875</v>
      </c>
      <c r="L44" s="51">
        <f t="shared" si="118"/>
        <v>-2537.25216166875</v>
      </c>
      <c r="M44" s="51">
        <f t="shared" si="118"/>
        <v>-2537.25216166875</v>
      </c>
      <c r="N44" s="51">
        <f t="shared" si="118"/>
        <v>-2537.25216166875</v>
      </c>
      <c r="O44" s="51">
        <f t="shared" si="118"/>
        <v>-2537.25216166875</v>
      </c>
      <c r="P44" s="51">
        <f t="shared" si="118"/>
        <v>-2537.25216166875</v>
      </c>
      <c r="Q44" s="51">
        <f t="shared" si="118"/>
        <v>-2537.25216166875</v>
      </c>
      <c r="R44" s="51">
        <f t="shared" si="118"/>
        <v>-2537.25216166875</v>
      </c>
      <c r="S44" s="30">
        <f t="shared" si="118"/>
        <v>-30247.025940025007</v>
      </c>
      <c r="T44" s="45"/>
      <c r="U44" s="3"/>
      <c r="V44" s="10" t="s">
        <v>121</v>
      </c>
      <c r="W44" s="51">
        <f t="shared" ref="W44:AI44" si="119">W21-W35-W43</f>
        <v>-2592.9885241758334</v>
      </c>
      <c r="X44" s="51">
        <f t="shared" si="119"/>
        <v>-2592.9885241758334</v>
      </c>
      <c r="Y44" s="51">
        <f t="shared" si="119"/>
        <v>-2592.9885241758334</v>
      </c>
      <c r="Z44" s="51">
        <f t="shared" si="119"/>
        <v>-2592.9885241758334</v>
      </c>
      <c r="AA44" s="51">
        <f t="shared" si="119"/>
        <v>-2592.9885241758334</v>
      </c>
      <c r="AB44" s="51">
        <f t="shared" si="119"/>
        <v>-2592.9885241758334</v>
      </c>
      <c r="AC44" s="51">
        <f t="shared" si="119"/>
        <v>-2592.9885241758334</v>
      </c>
      <c r="AD44" s="51">
        <f t="shared" si="119"/>
        <v>-2592.9885241758334</v>
      </c>
      <c r="AE44" s="51">
        <f t="shared" si="119"/>
        <v>-2592.9885241758334</v>
      </c>
      <c r="AF44" s="51">
        <f t="shared" si="119"/>
        <v>-2592.9885241758334</v>
      </c>
      <c r="AG44" s="51">
        <f t="shared" si="119"/>
        <v>-2592.9885241758334</v>
      </c>
      <c r="AH44" s="51">
        <f t="shared" si="119"/>
        <v>-2592.9885241758334</v>
      </c>
      <c r="AI44" s="30">
        <f t="shared" si="119"/>
        <v>-31115.440711458999</v>
      </c>
      <c r="AJ44" s="45"/>
      <c r="AK44" s="3"/>
      <c r="AL44" s="10" t="s">
        <v>120</v>
      </c>
      <c r="AM44" s="51">
        <f t="shared" ref="AM44:AY44" si="120">AM21-AM35-AM43</f>
        <v>-2667.4839850893645</v>
      </c>
      <c r="AN44" s="51">
        <f t="shared" si="120"/>
        <v>-2667.4839850893645</v>
      </c>
      <c r="AO44" s="51">
        <f t="shared" si="120"/>
        <v>-2667.4839850893645</v>
      </c>
      <c r="AP44" s="51">
        <f t="shared" si="120"/>
        <v>-2667.4839850893645</v>
      </c>
      <c r="AQ44" s="51">
        <f t="shared" si="120"/>
        <v>-2667.4839850893645</v>
      </c>
      <c r="AR44" s="51">
        <f t="shared" si="120"/>
        <v>-2667.4839850893645</v>
      </c>
      <c r="AS44" s="51">
        <f t="shared" si="120"/>
        <v>-2667.4839850893645</v>
      </c>
      <c r="AT44" s="51">
        <f t="shared" si="120"/>
        <v>-2667.4839850893645</v>
      </c>
      <c r="AU44" s="51">
        <f t="shared" si="120"/>
        <v>-2667.4839850893645</v>
      </c>
      <c r="AV44" s="51">
        <f t="shared" si="120"/>
        <v>-2667.4839850893645</v>
      </c>
      <c r="AW44" s="51">
        <f t="shared" si="120"/>
        <v>-2667.4839850893645</v>
      </c>
      <c r="AX44" s="51">
        <f t="shared" si="120"/>
        <v>-2667.4839850893645</v>
      </c>
      <c r="AY44" s="30">
        <f t="shared" si="120"/>
        <v>-32009.807821072376</v>
      </c>
      <c r="AZ44" s="45"/>
    </row>
    <row r="45" spans="2:52" ht="16.899999999999999" customHeight="1" x14ac:dyDescent="0.25">
      <c r="B45" s="7" t="s">
        <v>40</v>
      </c>
      <c r="C45" s="77">
        <v>3.5000000000000003E-2</v>
      </c>
      <c r="D45" s="101" t="s">
        <v>65</v>
      </c>
      <c r="F45" s="7" t="s">
        <v>115</v>
      </c>
      <c r="G45" s="34">
        <f>$S$45/12</f>
        <v>6.666666666666667</v>
      </c>
      <c r="H45" s="34">
        <f t="shared" ref="H45:R45" si="121">$S$45/12</f>
        <v>6.666666666666667</v>
      </c>
      <c r="I45" s="34">
        <f t="shared" si="121"/>
        <v>6.666666666666667</v>
      </c>
      <c r="J45" s="34">
        <f t="shared" si="121"/>
        <v>6.666666666666667</v>
      </c>
      <c r="K45" s="34">
        <f t="shared" si="121"/>
        <v>6.666666666666667</v>
      </c>
      <c r="L45" s="34">
        <f t="shared" si="121"/>
        <v>6.666666666666667</v>
      </c>
      <c r="M45" s="34">
        <f t="shared" si="121"/>
        <v>6.666666666666667</v>
      </c>
      <c r="N45" s="34">
        <f t="shared" si="121"/>
        <v>6.666666666666667</v>
      </c>
      <c r="O45" s="34">
        <f t="shared" si="121"/>
        <v>6.666666666666667</v>
      </c>
      <c r="P45" s="34">
        <f t="shared" si="121"/>
        <v>6.666666666666667</v>
      </c>
      <c r="Q45" s="34">
        <f t="shared" si="121"/>
        <v>6.666666666666667</v>
      </c>
      <c r="R45" s="34">
        <f t="shared" si="121"/>
        <v>6.666666666666667</v>
      </c>
      <c r="S45" s="30">
        <f>($C$26+$C$27+$C$29)/$C$65</f>
        <v>80</v>
      </c>
      <c r="T45" s="23"/>
      <c r="V45" s="7" t="s">
        <v>115</v>
      </c>
      <c r="W45" s="34">
        <f>$S$45/12</f>
        <v>6.666666666666667</v>
      </c>
      <c r="X45" s="34">
        <f t="shared" ref="X45:AH45" si="122">$S$45/12</f>
        <v>6.666666666666667</v>
      </c>
      <c r="Y45" s="34">
        <f t="shared" si="122"/>
        <v>6.666666666666667</v>
      </c>
      <c r="Z45" s="34">
        <f t="shared" si="122"/>
        <v>6.666666666666667</v>
      </c>
      <c r="AA45" s="34">
        <f t="shared" si="122"/>
        <v>6.666666666666667</v>
      </c>
      <c r="AB45" s="34">
        <f t="shared" si="122"/>
        <v>6.666666666666667</v>
      </c>
      <c r="AC45" s="34">
        <f t="shared" si="122"/>
        <v>6.666666666666667</v>
      </c>
      <c r="AD45" s="34">
        <f t="shared" si="122"/>
        <v>6.666666666666667</v>
      </c>
      <c r="AE45" s="34">
        <f t="shared" si="122"/>
        <v>6.666666666666667</v>
      </c>
      <c r="AF45" s="34">
        <f t="shared" si="122"/>
        <v>6.666666666666667</v>
      </c>
      <c r="AG45" s="34">
        <f t="shared" si="122"/>
        <v>6.666666666666667</v>
      </c>
      <c r="AH45" s="34">
        <f t="shared" si="122"/>
        <v>6.666666666666667</v>
      </c>
      <c r="AI45" s="30">
        <f>($C$26+$C$27+$C$29)/$C$65</f>
        <v>80</v>
      </c>
      <c r="AJ45" s="23"/>
      <c r="AL45" s="7" t="s">
        <v>115</v>
      </c>
      <c r="AM45" s="34">
        <f>$S$45/12</f>
        <v>6.666666666666667</v>
      </c>
      <c r="AN45" s="34">
        <f t="shared" ref="AN45:AX45" si="123">$S$45/12</f>
        <v>6.666666666666667</v>
      </c>
      <c r="AO45" s="34">
        <f t="shared" si="123"/>
        <v>6.666666666666667</v>
      </c>
      <c r="AP45" s="34">
        <f t="shared" si="123"/>
        <v>6.666666666666667</v>
      </c>
      <c r="AQ45" s="34">
        <f t="shared" si="123"/>
        <v>6.666666666666667</v>
      </c>
      <c r="AR45" s="34">
        <f t="shared" si="123"/>
        <v>6.666666666666667</v>
      </c>
      <c r="AS45" s="34">
        <f t="shared" si="123"/>
        <v>6.666666666666667</v>
      </c>
      <c r="AT45" s="34">
        <f t="shared" si="123"/>
        <v>6.666666666666667</v>
      </c>
      <c r="AU45" s="34">
        <f t="shared" si="123"/>
        <v>6.666666666666667</v>
      </c>
      <c r="AV45" s="34">
        <f t="shared" si="123"/>
        <v>6.666666666666667</v>
      </c>
      <c r="AW45" s="34">
        <f t="shared" si="123"/>
        <v>6.666666666666667</v>
      </c>
      <c r="AX45" s="34">
        <f t="shared" si="123"/>
        <v>6.666666666666667</v>
      </c>
      <c r="AY45" s="30">
        <f>($C$26+$C$27+$C$29)/$C$65</f>
        <v>80</v>
      </c>
      <c r="AZ45" s="23"/>
    </row>
    <row r="46" spans="2:52" ht="16.899999999999999" customHeight="1" x14ac:dyDescent="0.25">
      <c r="B46" s="7" t="s">
        <v>26</v>
      </c>
      <c r="C46" s="76">
        <v>100</v>
      </c>
      <c r="D46" s="135"/>
      <c r="F46" s="136" t="s">
        <v>6</v>
      </c>
      <c r="G46" s="20"/>
      <c r="H46" s="20"/>
      <c r="I46" s="20"/>
      <c r="J46" s="20"/>
      <c r="K46" s="20"/>
      <c r="L46" s="20"/>
      <c r="M46" s="20"/>
      <c r="N46" s="20"/>
      <c r="O46" s="20"/>
      <c r="P46" s="20"/>
      <c r="Q46" s="20"/>
      <c r="R46" s="20"/>
      <c r="S46" s="19"/>
      <c r="T46" s="23"/>
      <c r="V46" s="137" t="s">
        <v>6</v>
      </c>
      <c r="W46" s="35"/>
      <c r="X46" s="35"/>
      <c r="Y46" s="35"/>
      <c r="Z46" s="35"/>
      <c r="AA46" s="35"/>
      <c r="AB46" s="35"/>
      <c r="AC46" s="35"/>
      <c r="AD46" s="35"/>
      <c r="AE46" s="35"/>
      <c r="AF46" s="35"/>
      <c r="AG46" s="35"/>
      <c r="AH46" s="35"/>
      <c r="AI46" s="19"/>
      <c r="AJ46" s="23"/>
      <c r="AL46" s="136" t="s">
        <v>6</v>
      </c>
      <c r="AM46" s="35"/>
      <c r="AN46" s="35"/>
      <c r="AO46" s="35"/>
      <c r="AP46" s="35"/>
      <c r="AQ46" s="20"/>
      <c r="AR46" s="20"/>
      <c r="AS46" s="20"/>
      <c r="AT46" s="35"/>
      <c r="AU46" s="35"/>
      <c r="AV46" s="35"/>
      <c r="AW46" s="35"/>
      <c r="AX46" s="35"/>
      <c r="AY46" s="19"/>
      <c r="AZ46" s="23"/>
    </row>
    <row r="47" spans="2:52" ht="16.899999999999999" customHeight="1" x14ac:dyDescent="0.25">
      <c r="B47" s="7" t="s">
        <v>153</v>
      </c>
      <c r="C47" s="76">
        <v>100</v>
      </c>
      <c r="D47" s="135"/>
      <c r="E47" s="16"/>
      <c r="F47" s="7" t="s">
        <v>162</v>
      </c>
      <c r="G47" s="21">
        <f>SUM(G35,G43,G45)</f>
        <v>2446.9219303791665</v>
      </c>
      <c r="H47" s="21">
        <f t="shared" ref="H47:R47" si="124">SUM(H35,H43,H45)</f>
        <v>2446.9219303791665</v>
      </c>
      <c r="I47" s="21">
        <f t="shared" si="124"/>
        <v>2546.9219303791665</v>
      </c>
      <c r="J47" s="21">
        <f t="shared" si="124"/>
        <v>2546.9219303791665</v>
      </c>
      <c r="K47" s="21">
        <f t="shared" si="124"/>
        <v>2546.9219303791665</v>
      </c>
      <c r="L47" s="21">
        <f t="shared" si="124"/>
        <v>2546.9219303791665</v>
      </c>
      <c r="M47" s="21">
        <f t="shared" si="124"/>
        <v>2546.9219303791665</v>
      </c>
      <c r="N47" s="21">
        <f t="shared" si="124"/>
        <v>2546.9219303791665</v>
      </c>
      <c r="O47" s="21">
        <f t="shared" si="124"/>
        <v>2546.9219303791665</v>
      </c>
      <c r="P47" s="21">
        <f t="shared" si="124"/>
        <v>2546.9219303791665</v>
      </c>
      <c r="Q47" s="21">
        <f t="shared" si="124"/>
        <v>2546.9219303791665</v>
      </c>
      <c r="R47" s="21">
        <f t="shared" si="124"/>
        <v>2546.9219303791665</v>
      </c>
      <c r="S47" s="27">
        <f>SUM(G47:R47)</f>
        <v>30363.063164549993</v>
      </c>
      <c r="T47" s="23"/>
      <c r="V47" s="7" t="s">
        <v>162</v>
      </c>
      <c r="W47" s="21">
        <f>SUM(W35,W43,W45)</f>
        <v>2606.2615398349999</v>
      </c>
      <c r="X47" s="21">
        <f t="shared" ref="X47:AH47" si="125">SUM(X35,X43,X45)</f>
        <v>2606.2615398349999</v>
      </c>
      <c r="Y47" s="21">
        <f t="shared" si="125"/>
        <v>2606.2615398349999</v>
      </c>
      <c r="Z47" s="21">
        <f t="shared" si="125"/>
        <v>2606.2615398349999</v>
      </c>
      <c r="AA47" s="21">
        <f t="shared" si="125"/>
        <v>2606.2615398349999</v>
      </c>
      <c r="AB47" s="21">
        <f t="shared" si="125"/>
        <v>2606.2615398349999</v>
      </c>
      <c r="AC47" s="21">
        <f t="shared" si="125"/>
        <v>2606.2615398349999</v>
      </c>
      <c r="AD47" s="21">
        <f t="shared" si="125"/>
        <v>2606.2615398349999</v>
      </c>
      <c r="AE47" s="21">
        <f t="shared" si="125"/>
        <v>2606.2615398349999</v>
      </c>
      <c r="AF47" s="21">
        <f t="shared" si="125"/>
        <v>2606.2615398349999</v>
      </c>
      <c r="AG47" s="21">
        <f t="shared" si="125"/>
        <v>2606.2615398349999</v>
      </c>
      <c r="AH47" s="21">
        <f t="shared" si="125"/>
        <v>2606.2615398349999</v>
      </c>
      <c r="AI47" s="27">
        <f>SUM(W47:AH47)</f>
        <v>31275.138478019991</v>
      </c>
      <c r="AJ47" s="23"/>
      <c r="AL47" s="7" t="s">
        <v>162</v>
      </c>
      <c r="AM47" s="21">
        <f>SUM(AM35,AM43,AM45)</f>
        <v>2684.5554043758125</v>
      </c>
      <c r="AN47" s="21">
        <f t="shared" ref="AN47:AX47" si="126">SUM(AN35,AN43,AN45)</f>
        <v>2684.5554043758125</v>
      </c>
      <c r="AO47" s="21">
        <f t="shared" si="126"/>
        <v>2684.5554043758125</v>
      </c>
      <c r="AP47" s="21">
        <f t="shared" si="126"/>
        <v>2684.5554043758125</v>
      </c>
      <c r="AQ47" s="21">
        <f t="shared" si="126"/>
        <v>2684.5554043758125</v>
      </c>
      <c r="AR47" s="21">
        <f t="shared" si="126"/>
        <v>2684.5554043758125</v>
      </c>
      <c r="AS47" s="21">
        <f t="shared" si="126"/>
        <v>2684.5554043758125</v>
      </c>
      <c r="AT47" s="21">
        <f t="shared" si="126"/>
        <v>2684.5554043758125</v>
      </c>
      <c r="AU47" s="21">
        <f t="shared" si="126"/>
        <v>2684.5554043758125</v>
      </c>
      <c r="AV47" s="21">
        <f t="shared" si="126"/>
        <v>2684.5554043758125</v>
      </c>
      <c r="AW47" s="21">
        <f t="shared" si="126"/>
        <v>2684.5554043758125</v>
      </c>
      <c r="AX47" s="21">
        <f t="shared" si="126"/>
        <v>2684.5554043758125</v>
      </c>
      <c r="AY47" s="27">
        <f>SUM(AM47:AX47)</f>
        <v>32214.664852509752</v>
      </c>
      <c r="AZ47" s="23"/>
    </row>
    <row r="48" spans="2:52" ht="16.899999999999999" customHeight="1" x14ac:dyDescent="0.25">
      <c r="B48" s="7" t="s">
        <v>34</v>
      </c>
      <c r="C48" s="76">
        <v>100</v>
      </c>
      <c r="D48" s="135"/>
      <c r="F48" s="7" t="s">
        <v>124</v>
      </c>
      <c r="G48" s="9">
        <f>$S$48/12</f>
        <v>78.50853169492548</v>
      </c>
      <c r="H48" s="9">
        <f t="shared" ref="H48:R48" si="127">$S$48/12</f>
        <v>78.50853169492548</v>
      </c>
      <c r="I48" s="9">
        <f t="shared" si="127"/>
        <v>78.50853169492548</v>
      </c>
      <c r="J48" s="9">
        <f t="shared" si="127"/>
        <v>78.50853169492548</v>
      </c>
      <c r="K48" s="9">
        <f t="shared" si="127"/>
        <v>78.50853169492548</v>
      </c>
      <c r="L48" s="9">
        <f t="shared" si="127"/>
        <v>78.50853169492548</v>
      </c>
      <c r="M48" s="9">
        <f t="shared" si="127"/>
        <v>78.50853169492548</v>
      </c>
      <c r="N48" s="9">
        <f t="shared" si="127"/>
        <v>78.50853169492548</v>
      </c>
      <c r="O48" s="9">
        <f t="shared" si="127"/>
        <v>78.50853169492548</v>
      </c>
      <c r="P48" s="9">
        <f t="shared" si="127"/>
        <v>78.50853169492548</v>
      </c>
      <c r="Q48" s="9">
        <f t="shared" si="127"/>
        <v>78.50853169492548</v>
      </c>
      <c r="R48" s="9">
        <f t="shared" si="127"/>
        <v>78.50853169492548</v>
      </c>
      <c r="S48" s="27">
        <f>'Loan Summary | Use of Funds'!G20</f>
        <v>942.10238033910582</v>
      </c>
      <c r="T48" s="23"/>
      <c r="V48" s="7" t="s">
        <v>124</v>
      </c>
      <c r="W48" s="9">
        <f>$AI$48/12</f>
        <v>76.801824484166232</v>
      </c>
      <c r="X48" s="9">
        <f t="shared" ref="X48:AH48" si="128">$AI$48/12</f>
        <v>76.801824484166232</v>
      </c>
      <c r="Y48" s="9">
        <f t="shared" si="128"/>
        <v>76.801824484166232</v>
      </c>
      <c r="Z48" s="9">
        <f t="shared" si="128"/>
        <v>76.801824484166232</v>
      </c>
      <c r="AA48" s="9">
        <f t="shared" si="128"/>
        <v>76.801824484166232</v>
      </c>
      <c r="AB48" s="9">
        <f t="shared" si="128"/>
        <v>76.801824484166232</v>
      </c>
      <c r="AC48" s="9">
        <f t="shared" si="128"/>
        <v>76.801824484166232</v>
      </c>
      <c r="AD48" s="9">
        <f t="shared" si="128"/>
        <v>76.801824484166232</v>
      </c>
      <c r="AE48" s="9">
        <f t="shared" si="128"/>
        <v>76.801824484166232</v>
      </c>
      <c r="AF48" s="9">
        <f t="shared" si="128"/>
        <v>76.801824484166232</v>
      </c>
      <c r="AG48" s="9">
        <f t="shared" si="128"/>
        <v>76.801824484166232</v>
      </c>
      <c r="AH48" s="9">
        <f t="shared" si="128"/>
        <v>76.801824484166232</v>
      </c>
      <c r="AI48" s="27">
        <f>'Loan Summary | Use of Funds'!H20</f>
        <v>921.62189380999484</v>
      </c>
      <c r="AJ48" s="23"/>
      <c r="AL48" s="7" t="s">
        <v>124</v>
      </c>
      <c r="AM48" s="9">
        <f>$AY$48/12</f>
        <v>75.095117273406984</v>
      </c>
      <c r="AN48" s="9">
        <f t="shared" ref="AN48:AX48" si="129">$AY$48/12</f>
        <v>75.095117273406984</v>
      </c>
      <c r="AO48" s="9">
        <f t="shared" si="129"/>
        <v>75.095117273406984</v>
      </c>
      <c r="AP48" s="9">
        <f t="shared" si="129"/>
        <v>75.095117273406984</v>
      </c>
      <c r="AQ48" s="9">
        <f t="shared" si="129"/>
        <v>75.095117273406984</v>
      </c>
      <c r="AR48" s="9">
        <f t="shared" si="129"/>
        <v>75.095117273406984</v>
      </c>
      <c r="AS48" s="9">
        <f t="shared" si="129"/>
        <v>75.095117273406984</v>
      </c>
      <c r="AT48" s="9">
        <f t="shared" si="129"/>
        <v>75.095117273406984</v>
      </c>
      <c r="AU48" s="9">
        <f t="shared" si="129"/>
        <v>75.095117273406984</v>
      </c>
      <c r="AV48" s="9">
        <f t="shared" si="129"/>
        <v>75.095117273406984</v>
      </c>
      <c r="AW48" s="9">
        <f t="shared" si="129"/>
        <v>75.095117273406984</v>
      </c>
      <c r="AX48" s="9">
        <f t="shared" si="129"/>
        <v>75.095117273406984</v>
      </c>
      <c r="AY48" s="27">
        <f>'Loan Summary | Use of Funds'!I20</f>
        <v>901.14140728088375</v>
      </c>
      <c r="AZ48" s="23"/>
    </row>
    <row r="49" spans="2:52" ht="16.899999999999999" customHeight="1" x14ac:dyDescent="0.25">
      <c r="B49" s="7" t="s">
        <v>29</v>
      </c>
      <c r="C49" s="76">
        <v>100</v>
      </c>
      <c r="D49" s="135"/>
      <c r="F49" s="138" t="s">
        <v>119</v>
      </c>
      <c r="G49" s="22">
        <f>G21-(G47+G48)</f>
        <v>-2522.4273600303418</v>
      </c>
      <c r="H49" s="22">
        <f t="shared" ref="H49:R49" si="130">H21-(H47+H48)</f>
        <v>-2522.4273600303418</v>
      </c>
      <c r="I49" s="22">
        <f t="shared" si="130"/>
        <v>-2622.4273600303418</v>
      </c>
      <c r="J49" s="22">
        <f t="shared" si="130"/>
        <v>-2622.4273600303418</v>
      </c>
      <c r="K49" s="22">
        <f t="shared" si="130"/>
        <v>-2622.4273600303418</v>
      </c>
      <c r="L49" s="22">
        <f t="shared" si="130"/>
        <v>-2622.4273600303418</v>
      </c>
      <c r="M49" s="22">
        <f t="shared" si="130"/>
        <v>-2622.4273600303418</v>
      </c>
      <c r="N49" s="22">
        <f t="shared" si="130"/>
        <v>-2622.4273600303418</v>
      </c>
      <c r="O49" s="22">
        <f t="shared" si="130"/>
        <v>-2622.4273600303418</v>
      </c>
      <c r="P49" s="22">
        <f t="shared" si="130"/>
        <v>-2622.4273600303418</v>
      </c>
      <c r="Q49" s="22">
        <f t="shared" si="130"/>
        <v>-2622.4273600303418</v>
      </c>
      <c r="R49" s="22">
        <f t="shared" si="130"/>
        <v>-2622.4273600303418</v>
      </c>
      <c r="S49" s="22">
        <f>SUM(G49:R49)</f>
        <v>-31269.128320364103</v>
      </c>
      <c r="T49" s="45"/>
      <c r="U49" s="3"/>
      <c r="V49" s="139" t="s">
        <v>119</v>
      </c>
      <c r="W49" s="22">
        <f>W21-(W47+W48)</f>
        <v>-2676.4570153266664</v>
      </c>
      <c r="X49" s="22">
        <f t="shared" ref="X49" si="131">X21-(X47+X48)</f>
        <v>-2676.4570153266664</v>
      </c>
      <c r="Y49" s="22">
        <f t="shared" ref="Y49" si="132">Y21-(Y47+Y48)</f>
        <v>-2676.4570153266664</v>
      </c>
      <c r="Z49" s="22">
        <f t="shared" ref="Z49" si="133">Z21-(Z47+Z48)</f>
        <v>-2676.4570153266664</v>
      </c>
      <c r="AA49" s="22">
        <f t="shared" ref="AA49" si="134">AA21-(AA47+AA48)</f>
        <v>-2676.4570153266664</v>
      </c>
      <c r="AB49" s="22">
        <f t="shared" ref="AB49" si="135">AB21-(AB47+AB48)</f>
        <v>-2676.4570153266664</v>
      </c>
      <c r="AC49" s="22">
        <f t="shared" ref="AC49" si="136">AC21-(AC47+AC48)</f>
        <v>-2676.4570153266664</v>
      </c>
      <c r="AD49" s="22">
        <f t="shared" ref="AD49" si="137">AD21-(AD47+AD48)</f>
        <v>-2676.4570153266664</v>
      </c>
      <c r="AE49" s="22">
        <f t="shared" ref="AE49" si="138">AE21-(AE47+AE48)</f>
        <v>-2676.4570153266664</v>
      </c>
      <c r="AF49" s="22">
        <f t="shared" ref="AF49" si="139">AF21-(AF47+AF48)</f>
        <v>-2676.4570153266664</v>
      </c>
      <c r="AG49" s="22">
        <f t="shared" ref="AG49" si="140">AG21-(AG47+AG48)</f>
        <v>-2676.4570153266664</v>
      </c>
      <c r="AH49" s="22">
        <f t="shared" ref="AH49" si="141">AH21-(AH47+AH48)</f>
        <v>-2676.4570153266664</v>
      </c>
      <c r="AI49" s="22">
        <f>SUM(W49:AH49)</f>
        <v>-32117.484183919991</v>
      </c>
      <c r="AJ49" s="45"/>
      <c r="AK49" s="3"/>
      <c r="AL49" s="140" t="s">
        <v>119</v>
      </c>
      <c r="AM49" s="22">
        <f>AM21-(AM47+AM48)</f>
        <v>-2749.2457690294382</v>
      </c>
      <c r="AN49" s="22">
        <f t="shared" ref="AN49" si="142">AN21-(AN47+AN48)</f>
        <v>-2749.2457690294382</v>
      </c>
      <c r="AO49" s="22">
        <f t="shared" ref="AO49" si="143">AO21-(AO47+AO48)</f>
        <v>-2749.2457690294382</v>
      </c>
      <c r="AP49" s="22">
        <f t="shared" ref="AP49" si="144">AP21-(AP47+AP48)</f>
        <v>-2749.2457690294382</v>
      </c>
      <c r="AQ49" s="22">
        <f t="shared" ref="AQ49" si="145">AQ21-(AQ47+AQ48)</f>
        <v>-2749.2457690294382</v>
      </c>
      <c r="AR49" s="22">
        <f t="shared" ref="AR49" si="146">AR21-(AR47+AR48)</f>
        <v>-2749.2457690294382</v>
      </c>
      <c r="AS49" s="22">
        <f t="shared" ref="AS49" si="147">AS21-(AS47+AS48)</f>
        <v>-2749.2457690294382</v>
      </c>
      <c r="AT49" s="22">
        <f t="shared" ref="AT49" si="148">AT21-(AT47+AT48)</f>
        <v>-2749.2457690294382</v>
      </c>
      <c r="AU49" s="22">
        <f t="shared" ref="AU49" si="149">AU21-(AU47+AU48)</f>
        <v>-2749.2457690294382</v>
      </c>
      <c r="AV49" s="22">
        <f t="shared" ref="AV49" si="150">AV21-(AV47+AV48)</f>
        <v>-2749.2457690294382</v>
      </c>
      <c r="AW49" s="22">
        <f t="shared" ref="AW49" si="151">AW21-(AW47+AW48)</f>
        <v>-2749.2457690294382</v>
      </c>
      <c r="AX49" s="22">
        <f t="shared" ref="AX49" si="152">AX21-(AX47+AX48)</f>
        <v>-2749.2457690294382</v>
      </c>
      <c r="AY49" s="22">
        <f>SUM(AM49:AX49)</f>
        <v>-32990.949228353267</v>
      </c>
      <c r="AZ49" s="45"/>
    </row>
    <row r="50" spans="2:52" ht="16.899999999999999" customHeight="1" x14ac:dyDescent="0.25">
      <c r="B50" s="7" t="s">
        <v>38</v>
      </c>
      <c r="C50" s="76">
        <v>100</v>
      </c>
      <c r="D50" s="135"/>
      <c r="T50" s="141"/>
      <c r="AJ50" s="141"/>
    </row>
    <row r="51" spans="2:52" ht="16.899999999999999" customHeight="1" x14ac:dyDescent="0.25">
      <c r="B51" s="7" t="s">
        <v>59</v>
      </c>
      <c r="C51" s="76">
        <v>100</v>
      </c>
      <c r="D51" s="101" t="s">
        <v>77</v>
      </c>
      <c r="G51"/>
      <c r="H51"/>
      <c r="I51"/>
      <c r="J51"/>
      <c r="K51"/>
      <c r="V51" s="5"/>
    </row>
    <row r="52" spans="2:52" ht="16.899999999999999" customHeight="1" x14ac:dyDescent="0.25">
      <c r="B52" s="7" t="s">
        <v>30</v>
      </c>
      <c r="C52" s="76">
        <v>100</v>
      </c>
      <c r="D52" s="101" t="s">
        <v>61</v>
      </c>
      <c r="G52"/>
      <c r="H52"/>
      <c r="I52"/>
      <c r="K52" s="142"/>
      <c r="R52" s="142"/>
      <c r="U52" s="3"/>
      <c r="AA52" s="142"/>
      <c r="AH52" s="142"/>
    </row>
    <row r="53" spans="2:52" ht="16.899999999999999" customHeight="1" x14ac:dyDescent="0.25">
      <c r="B53" s="7" t="s">
        <v>39</v>
      </c>
      <c r="C53" s="76">
        <v>100</v>
      </c>
      <c r="D53" s="143"/>
      <c r="E53" s="16"/>
      <c r="G53"/>
      <c r="H53"/>
      <c r="I53"/>
      <c r="V53" s="1"/>
    </row>
    <row r="54" spans="2:52" ht="16.899999999999999" customHeight="1" x14ac:dyDescent="0.25">
      <c r="B54" s="100" t="s">
        <v>76</v>
      </c>
      <c r="C54" s="71">
        <v>1.03</v>
      </c>
      <c r="D54" s="94"/>
      <c r="G54"/>
      <c r="H54"/>
      <c r="I54"/>
    </row>
    <row r="55" spans="2:52" ht="16.899999999999999" customHeight="1" x14ac:dyDescent="0.25">
      <c r="B55" s="100" t="s">
        <v>75</v>
      </c>
      <c r="C55" s="71">
        <v>1.03</v>
      </c>
      <c r="D55" s="94"/>
      <c r="F55" s="16" t="s">
        <v>155</v>
      </c>
      <c r="G55"/>
      <c r="H55"/>
      <c r="I55"/>
      <c r="W55" s="207"/>
      <c r="X55" s="207"/>
      <c r="Y55" s="207"/>
    </row>
    <row r="56" spans="2:52" ht="16.899999999999999" customHeight="1" x14ac:dyDescent="0.25">
      <c r="B56" s="1"/>
      <c r="C56"/>
      <c r="F56" s="144" t="s">
        <v>113</v>
      </c>
      <c r="G56"/>
      <c r="H56"/>
      <c r="I56"/>
      <c r="W56" s="145"/>
      <c r="X56" s="145"/>
    </row>
    <row r="57" spans="2:52" ht="16.899999999999999" customHeight="1" x14ac:dyDescent="0.25">
      <c r="B57" s="3" t="s">
        <v>36</v>
      </c>
      <c r="C57" s="5" t="s">
        <v>37</v>
      </c>
      <c r="F57" s="144" t="s">
        <v>114</v>
      </c>
    </row>
    <row r="58" spans="2:52" ht="16.899999999999999" customHeight="1" x14ac:dyDescent="0.25">
      <c r="B58" s="7" t="s">
        <v>193</v>
      </c>
      <c r="C58" s="76">
        <v>0</v>
      </c>
      <c r="D58" s="94" t="s">
        <v>196</v>
      </c>
      <c r="F58" s="146" t="s">
        <v>190</v>
      </c>
    </row>
    <row r="59" spans="2:52" ht="16.899999999999999" customHeight="1" x14ac:dyDescent="0.25">
      <c r="B59" s="7" t="s">
        <v>194</v>
      </c>
      <c r="C59" s="76">
        <v>0</v>
      </c>
      <c r="D59" s="94" t="s">
        <v>196</v>
      </c>
      <c r="F59" s="147" t="s">
        <v>189</v>
      </c>
    </row>
    <row r="60" spans="2:52" ht="16.899999999999999" customHeight="1" x14ac:dyDescent="0.25">
      <c r="B60" s="7" t="s">
        <v>195</v>
      </c>
      <c r="C60" s="76">
        <v>0</v>
      </c>
      <c r="D60" s="94" t="s">
        <v>196</v>
      </c>
    </row>
    <row r="61" spans="2:52" ht="16.899999999999999" customHeight="1" x14ac:dyDescent="0.25">
      <c r="B61" s="7" t="s">
        <v>87</v>
      </c>
      <c r="C61" s="76">
        <v>100</v>
      </c>
      <c r="D61" s="94" t="s">
        <v>158</v>
      </c>
    </row>
    <row r="62" spans="2:52" ht="16.899999999999999" customHeight="1" x14ac:dyDescent="0.25">
      <c r="B62" s="7" t="s">
        <v>32</v>
      </c>
      <c r="C62" s="76">
        <v>100</v>
      </c>
      <c r="D62" s="94"/>
    </row>
    <row r="63" spans="2:52" ht="16.899999999999999" customHeight="1" x14ac:dyDescent="0.25">
      <c r="B63" s="148" t="s">
        <v>79</v>
      </c>
      <c r="C63" s="74">
        <v>0.01</v>
      </c>
      <c r="D63" s="135" t="s">
        <v>159</v>
      </c>
    </row>
    <row r="64" spans="2:52" ht="16.899999999999999" customHeight="1" x14ac:dyDescent="0.25">
      <c r="B64" s="7" t="s">
        <v>198</v>
      </c>
      <c r="C64" s="74">
        <v>0</v>
      </c>
      <c r="D64" s="135" t="s">
        <v>157</v>
      </c>
    </row>
    <row r="65" spans="2:11" ht="16.899999999999999" customHeight="1" x14ac:dyDescent="0.25">
      <c r="B65" s="7" t="s">
        <v>115</v>
      </c>
      <c r="C65" s="78">
        <v>25</v>
      </c>
      <c r="D65" s="135" t="s">
        <v>197</v>
      </c>
    </row>
    <row r="66" spans="2:11" ht="16.899999999999999" customHeight="1" x14ac:dyDescent="0.25">
      <c r="B66" s="7" t="s">
        <v>124</v>
      </c>
      <c r="C66" s="53" t="s">
        <v>117</v>
      </c>
      <c r="D66" s="135" t="s">
        <v>118</v>
      </c>
    </row>
    <row r="67" spans="2:11" ht="16.899999999999999" customHeight="1" x14ac:dyDescent="0.25">
      <c r="B67" s="117"/>
      <c r="C67" s="149"/>
      <c r="D67" s="94"/>
    </row>
    <row r="68" spans="2:11" ht="16.899999999999999" customHeight="1" x14ac:dyDescent="0.25">
      <c r="B68" s="117" t="s">
        <v>86</v>
      </c>
      <c r="C68" s="3" t="s">
        <v>37</v>
      </c>
      <c r="D68" s="94"/>
      <c r="G68" s="142"/>
      <c r="H68" s="150"/>
    </row>
    <row r="69" spans="2:11" ht="16.899999999999999" customHeight="1" x14ac:dyDescent="0.25">
      <c r="B69" s="7" t="s">
        <v>24</v>
      </c>
      <c r="C69" s="79"/>
      <c r="D69" s="94"/>
      <c r="F69" s="3" t="s">
        <v>165</v>
      </c>
      <c r="G69" s="3" t="s">
        <v>203</v>
      </c>
      <c r="H69" s="3" t="s">
        <v>204</v>
      </c>
      <c r="I69" s="3" t="s">
        <v>205</v>
      </c>
    </row>
    <row r="70" spans="2:11" ht="16.899999999999999" customHeight="1" x14ac:dyDescent="0.25">
      <c r="B70" s="6" t="s">
        <v>27</v>
      </c>
      <c r="C70" s="79">
        <v>100</v>
      </c>
      <c r="D70" s="94"/>
      <c r="F70" s="6" t="s">
        <v>166</v>
      </c>
      <c r="G70" s="74">
        <v>0.01</v>
      </c>
      <c r="H70" s="74">
        <v>0.02</v>
      </c>
      <c r="I70" s="74">
        <v>0.03</v>
      </c>
    </row>
    <row r="71" spans="2:11" ht="16.899999999999999" customHeight="1" x14ac:dyDescent="0.25">
      <c r="B71" s="7" t="s">
        <v>63</v>
      </c>
      <c r="C71" s="79">
        <v>100</v>
      </c>
      <c r="D71" s="94"/>
      <c r="F71" s="6" t="s">
        <v>167</v>
      </c>
      <c r="G71" s="74">
        <v>0.01</v>
      </c>
      <c r="H71" s="74">
        <v>0.02</v>
      </c>
      <c r="I71" s="74">
        <v>0.03</v>
      </c>
    </row>
    <row r="72" spans="2:11" ht="16.899999999999999" customHeight="1" x14ac:dyDescent="0.25">
      <c r="B72" s="7" t="s">
        <v>131</v>
      </c>
      <c r="C72" s="79">
        <v>100</v>
      </c>
      <c r="D72" s="94"/>
      <c r="F72" s="6" t="s">
        <v>168</v>
      </c>
      <c r="G72" s="74">
        <v>0.01</v>
      </c>
      <c r="H72" s="74">
        <v>0.02</v>
      </c>
      <c r="I72" s="74">
        <v>0.03</v>
      </c>
    </row>
    <row r="73" spans="2:11" ht="16.899999999999999" customHeight="1" x14ac:dyDescent="0.25">
      <c r="B73" s="7" t="s">
        <v>132</v>
      </c>
      <c r="C73" s="79"/>
      <c r="D73" s="94"/>
      <c r="F73" s="6" t="s">
        <v>169</v>
      </c>
      <c r="G73" s="74">
        <v>0.01</v>
      </c>
      <c r="H73" s="74">
        <v>0.02</v>
      </c>
      <c r="I73" s="74">
        <v>0.03</v>
      </c>
      <c r="K73"/>
    </row>
    <row r="74" spans="2:11" ht="16.899999999999999" customHeight="1" x14ac:dyDescent="0.25">
      <c r="B74" s="7" t="s">
        <v>23</v>
      </c>
      <c r="C74" s="79">
        <v>100</v>
      </c>
      <c r="D74" s="94"/>
      <c r="F74" s="6" t="s">
        <v>170</v>
      </c>
      <c r="G74" s="74">
        <v>0.01</v>
      </c>
      <c r="H74" s="74">
        <v>0.02</v>
      </c>
      <c r="I74" s="74">
        <v>0.03</v>
      </c>
      <c r="K74"/>
    </row>
    <row r="75" spans="2:11" ht="16.899999999999999" customHeight="1" x14ac:dyDescent="0.25">
      <c r="B75" s="7" t="s">
        <v>133</v>
      </c>
      <c r="C75" s="79">
        <v>100</v>
      </c>
      <c r="D75" s="94"/>
      <c r="F75" s="6" t="s">
        <v>171</v>
      </c>
      <c r="G75" s="74">
        <v>0.01</v>
      </c>
      <c r="H75" s="74">
        <v>0.02</v>
      </c>
      <c r="I75" s="74">
        <v>0.03</v>
      </c>
      <c r="K75"/>
    </row>
    <row r="76" spans="2:11" ht="16.899999999999999" customHeight="1" x14ac:dyDescent="0.25">
      <c r="B76" s="6" t="s">
        <v>28</v>
      </c>
      <c r="C76" s="79">
        <v>100</v>
      </c>
      <c r="D76" s="135" t="s">
        <v>64</v>
      </c>
      <c r="F76" s="6" t="s">
        <v>172</v>
      </c>
      <c r="G76" s="74">
        <v>0.01</v>
      </c>
      <c r="H76" s="74">
        <v>0.02</v>
      </c>
      <c r="I76" s="74">
        <v>0.03</v>
      </c>
      <c r="K76"/>
    </row>
    <row r="77" spans="2:11" ht="16.899999999999999" customHeight="1" x14ac:dyDescent="0.25">
      <c r="B77" s="7" t="s">
        <v>134</v>
      </c>
      <c r="C77" s="79"/>
      <c r="D77" s="135"/>
      <c r="F77" s="6" t="s">
        <v>173</v>
      </c>
      <c r="G77" s="74">
        <v>0.01</v>
      </c>
      <c r="H77" s="74">
        <v>0.02</v>
      </c>
      <c r="I77" s="74">
        <v>0.03</v>
      </c>
      <c r="K77"/>
    </row>
    <row r="78" spans="2:11" ht="16.899999999999999" customHeight="1" x14ac:dyDescent="0.25">
      <c r="B78" s="7" t="s">
        <v>163</v>
      </c>
      <c r="C78" s="79"/>
      <c r="D78" s="135" t="s">
        <v>164</v>
      </c>
      <c r="F78" s="6" t="s">
        <v>174</v>
      </c>
      <c r="G78" s="74">
        <v>0.01</v>
      </c>
      <c r="H78" s="74">
        <v>0.02</v>
      </c>
      <c r="I78" s="74">
        <v>0.03</v>
      </c>
      <c r="K78"/>
    </row>
    <row r="79" spans="2:11" ht="16.899999999999999" customHeight="1" x14ac:dyDescent="0.25">
      <c r="B79" s="7" t="s">
        <v>13</v>
      </c>
      <c r="C79" s="79"/>
      <c r="D79" s="94"/>
      <c r="F79" s="6" t="s">
        <v>175</v>
      </c>
      <c r="G79" s="74">
        <v>0.01</v>
      </c>
      <c r="H79" s="74">
        <v>0.02</v>
      </c>
      <c r="I79" s="74">
        <v>0.03</v>
      </c>
      <c r="K79"/>
    </row>
    <row r="80" spans="2:11" ht="16.899999999999999" customHeight="1" x14ac:dyDescent="0.25">
      <c r="B80" s="7" t="s">
        <v>15</v>
      </c>
      <c r="C80" s="79"/>
      <c r="D80" s="94"/>
      <c r="F80" s="6" t="s">
        <v>176</v>
      </c>
      <c r="G80" s="74">
        <v>0.01</v>
      </c>
      <c r="H80" s="74">
        <v>0.02</v>
      </c>
      <c r="I80" s="74">
        <v>0.03</v>
      </c>
      <c r="K80"/>
    </row>
    <row r="81" spans="2:11" ht="16.899999999999999" customHeight="1" x14ac:dyDescent="0.25">
      <c r="B81" s="7" t="s">
        <v>22</v>
      </c>
      <c r="C81" s="79">
        <v>100</v>
      </c>
      <c r="D81" s="94"/>
      <c r="F81" s="6" t="s">
        <v>177</v>
      </c>
      <c r="G81" s="74">
        <v>0.01</v>
      </c>
      <c r="H81" s="74">
        <v>0.02</v>
      </c>
      <c r="I81" s="74">
        <v>0.03</v>
      </c>
      <c r="K81"/>
    </row>
    <row r="82" spans="2:11" ht="16.899999999999999" customHeight="1" x14ac:dyDescent="0.25">
      <c r="B82" s="7" t="s">
        <v>20</v>
      </c>
      <c r="C82" s="79"/>
      <c r="D82" s="94"/>
    </row>
    <row r="83" spans="2:11" ht="16.899999999999999" customHeight="1" x14ac:dyDescent="0.25">
      <c r="B83" s="7" t="s">
        <v>154</v>
      </c>
      <c r="C83" s="79">
        <v>100</v>
      </c>
      <c r="D83" s="94"/>
      <c r="F83" s="3" t="s">
        <v>182</v>
      </c>
    </row>
    <row r="84" spans="2:11" ht="16.899999999999999" customHeight="1" x14ac:dyDescent="0.25">
      <c r="B84" s="7" t="s">
        <v>21</v>
      </c>
      <c r="C84" s="79"/>
      <c r="D84" s="94"/>
    </row>
    <row r="85" spans="2:11" ht="16.899999999999999" customHeight="1" x14ac:dyDescent="0.25">
      <c r="B85" s="7" t="s">
        <v>62</v>
      </c>
      <c r="C85" s="79">
        <v>100</v>
      </c>
      <c r="D85" s="94"/>
    </row>
    <row r="86" spans="2:11" ht="16.899999999999999" customHeight="1" x14ac:dyDescent="0.25">
      <c r="B86" s="7" t="s">
        <v>135</v>
      </c>
      <c r="C86" s="79"/>
      <c r="D86" s="94"/>
    </row>
    <row r="87" spans="2:11" ht="16.899999999999999" customHeight="1" x14ac:dyDescent="0.25">
      <c r="B87" s="7" t="s">
        <v>12</v>
      </c>
      <c r="C87" s="79">
        <v>100</v>
      </c>
      <c r="D87" s="94"/>
    </row>
    <row r="88" spans="2:11" ht="16.899999999999999" customHeight="1" x14ac:dyDescent="0.25">
      <c r="B88" s="7" t="s">
        <v>14</v>
      </c>
      <c r="C88" s="79"/>
      <c r="D88" s="94"/>
    </row>
    <row r="89" spans="2:11" ht="16.899999999999999" customHeight="1" x14ac:dyDescent="0.25">
      <c r="B89" s="7" t="s">
        <v>17</v>
      </c>
      <c r="C89" s="79"/>
      <c r="D89" s="94"/>
    </row>
    <row r="90" spans="2:11" ht="16.899999999999999" customHeight="1" x14ac:dyDescent="0.25">
      <c r="B90" s="7" t="s">
        <v>16</v>
      </c>
      <c r="C90" s="79">
        <v>200</v>
      </c>
      <c r="D90" s="94"/>
    </row>
    <row r="91" spans="2:11" ht="16.899999999999999" customHeight="1" x14ac:dyDescent="0.25">
      <c r="B91" s="7" t="s">
        <v>136</v>
      </c>
      <c r="C91" s="79"/>
      <c r="D91" s="94"/>
    </row>
    <row r="92" spans="2:11" ht="16.899999999999999" customHeight="1" x14ac:dyDescent="0.25">
      <c r="B92" s="7" t="s">
        <v>19</v>
      </c>
      <c r="C92" s="79"/>
      <c r="D92" s="94"/>
    </row>
    <row r="93" spans="2:11" ht="16.899999999999999" customHeight="1" x14ac:dyDescent="0.25">
      <c r="B93" s="7" t="s">
        <v>10</v>
      </c>
      <c r="C93" s="79">
        <v>100</v>
      </c>
      <c r="D93" s="151"/>
    </row>
    <row r="94" spans="2:11" ht="16.899999999999999" customHeight="1" x14ac:dyDescent="0.25">
      <c r="B94" s="7" t="s">
        <v>18</v>
      </c>
      <c r="C94" s="79">
        <v>100</v>
      </c>
      <c r="D94" s="94"/>
      <c r="F94" s="4"/>
    </row>
    <row r="95" spans="2:11" ht="16.899999999999999" customHeight="1" x14ac:dyDescent="0.25">
      <c r="B95" s="7" t="s">
        <v>11</v>
      </c>
      <c r="C95" s="79"/>
      <c r="D95" s="94"/>
    </row>
    <row r="96" spans="2:11" ht="16.899999999999999" customHeight="1" x14ac:dyDescent="0.25">
      <c r="B96" s="10" t="s">
        <v>70</v>
      </c>
      <c r="C96" s="152">
        <f>SUM(C69:C95)</f>
        <v>1400</v>
      </c>
      <c r="D96" s="94"/>
    </row>
    <row r="97" spans="2:6" ht="16.899999999999999" customHeight="1" x14ac:dyDescent="0.25"/>
    <row r="98" spans="2:6" ht="16.899999999999999" customHeight="1" x14ac:dyDescent="0.25"/>
    <row r="99" spans="2:6" ht="16.899999999999999" customHeight="1" x14ac:dyDescent="0.25">
      <c r="B99" s="2" t="s">
        <v>123</v>
      </c>
    </row>
    <row r="100" spans="2:6" ht="16.899999999999999" customHeight="1" x14ac:dyDescent="0.25">
      <c r="F100" s="13"/>
    </row>
    <row r="101" spans="2:6" ht="16.899999999999999" customHeight="1" x14ac:dyDescent="0.25">
      <c r="B101" s="11">
        <f>Instructions!C48</f>
        <v>0</v>
      </c>
      <c r="C101" s="11"/>
      <c r="D101" s="11"/>
    </row>
    <row r="102" spans="2:6" ht="16.899999999999999" customHeight="1" x14ac:dyDescent="0.25">
      <c r="B102" s="3" t="s">
        <v>78</v>
      </c>
      <c r="D102" s="3"/>
    </row>
    <row r="103" spans="2:6" ht="16.899999999999999" customHeight="1" x14ac:dyDescent="0.25"/>
    <row r="104" spans="2:6" ht="16.899999999999999" customHeight="1" x14ac:dyDescent="0.25">
      <c r="B104" s="3" t="s">
        <v>101</v>
      </c>
    </row>
    <row r="105" spans="2:6" ht="16.899999999999999" customHeight="1" x14ac:dyDescent="0.25">
      <c r="B105" s="2" t="str">
        <f>Instructions!B59</f>
        <v>Business Finance Depot</v>
      </c>
      <c r="F105" s="12">
        <f ca="1">TODAY()</f>
        <v>46291</v>
      </c>
    </row>
    <row r="106" spans="2:6" x14ac:dyDescent="0.25">
      <c r="B106" s="2" t="str">
        <f>Instructions!B60</f>
        <v>Paul Bosley</v>
      </c>
      <c r="F106" s="13" t="s">
        <v>7</v>
      </c>
    </row>
    <row r="107" spans="2:6" x14ac:dyDescent="0.25">
      <c r="B107" s="2" t="str">
        <f>Instructions!B61</f>
        <v>W: Businessfinancedepot.com</v>
      </c>
    </row>
    <row r="108" spans="2:6" x14ac:dyDescent="0.25">
      <c r="B108" s="2" t="str">
        <f>Instructions!B62</f>
        <v>E: Paul@BusinessFinanceDepot.com</v>
      </c>
      <c r="E108" s="12"/>
    </row>
    <row r="109" spans="2:6" x14ac:dyDescent="0.25">
      <c r="B109" s="2" t="str">
        <f>Instructions!B63</f>
        <v>P: 800-788-3884</v>
      </c>
      <c r="E109" s="13"/>
    </row>
    <row r="111" spans="2:6" x14ac:dyDescent="0.25">
      <c r="B111" s="55" t="s">
        <v>206</v>
      </c>
    </row>
  </sheetData>
  <sheetProtection algorithmName="SHA-512" hashValue="6pg2/Xm1cqoVJ093+JndSq/uDAsZV2MBEed/P4920X9LiY4XrIEa3YL9gkc/yaafLG7rx30i+4YfKccR0K+ugw==" saltValue="JiZGMpRsxSgVjUSYXZRhDQ==" spinCount="100000" sheet="1" formatColumns="0"/>
  <sortState xmlns:xlrd2="http://schemas.microsoft.com/office/spreadsheetml/2017/richdata2" ref="B66:D92">
    <sortCondition ref="B66:B92"/>
  </sortState>
  <mergeCells count="1">
    <mergeCell ref="W55:Y55"/>
  </mergeCells>
  <phoneticPr fontId="6" type="noConversion"/>
  <printOptions horizontalCentered="1" verticalCentered="1"/>
  <pageMargins left="0" right="0" top="0.2" bottom="0.2" header="0.25" footer="0.2"/>
  <pageSetup scale="48" orientation="landscape" horizontalDpi="4294967292" r:id="rId1"/>
  <headerFooter alignWithMargins="0">
    <oddFooter>&amp;CPage &amp;P of &amp;N</oddFooter>
  </headerFooter>
  <colBreaks count="2" manualBreakCount="2">
    <brk id="21" max="1048575" man="1"/>
    <brk id="37" max="1048575" man="1"/>
  </colBreaks>
  <ignoredErrors>
    <ignoredError sqref="G23:R24 G28:R29 I30:R30 G31:R34 AI23:AI25 W38:AH39 AO38:AY39 G37:R39 AM38:AN39 AO42:AY42 W42:AH42 G42:R43 AM42:AN43 G44:S44 W44:AI44 AM44:AY44 G45:R45 AM45:AY45 W45:AH45 AO43:AX43 S19 AI28:AI35" unlockedFormula="1"/>
    <ignoredError sqref="S35 AI27 AY27 AY40 S48 AI48 AY48"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7BC0-9E84-4562-A0E5-F6E578A3376B}">
  <sheetPr>
    <tabColor theme="7" tint="0.79998168889431442"/>
  </sheetPr>
  <dimension ref="A1:L44"/>
  <sheetViews>
    <sheetView topLeftCell="A16" zoomScaleNormal="100" workbookViewId="0">
      <selection activeCell="H21" sqref="H21"/>
    </sheetView>
  </sheetViews>
  <sheetFormatPr defaultColWidth="8.7109375" defaultRowHeight="12.75" x14ac:dyDescent="0.2"/>
  <cols>
    <col min="1" max="1" width="3.7109375" customWidth="1"/>
    <col min="2" max="2" width="39.140625" customWidth="1"/>
    <col min="3" max="3" width="18.42578125" customWidth="1"/>
    <col min="4" max="4" width="7.28515625" customWidth="1"/>
    <col min="5" max="5" width="14.7109375" customWidth="1"/>
    <col min="6" max="6" width="31.42578125" customWidth="1"/>
    <col min="7" max="7" width="12.7109375" customWidth="1"/>
    <col min="8" max="8" width="10.28515625" customWidth="1"/>
    <col min="9" max="9" width="11" customWidth="1"/>
  </cols>
  <sheetData>
    <row r="1" spans="1:12" ht="15.75" x14ac:dyDescent="0.25">
      <c r="A1" s="153"/>
      <c r="B1" s="153"/>
      <c r="C1" s="153"/>
      <c r="D1" s="153"/>
      <c r="E1" s="153"/>
      <c r="F1" s="153"/>
      <c r="G1" s="153"/>
      <c r="H1" s="153"/>
      <c r="I1" s="153"/>
      <c r="J1" s="153"/>
      <c r="K1" s="153"/>
      <c r="L1" s="153"/>
    </row>
    <row r="2" spans="1:12" ht="15.75" x14ac:dyDescent="0.25">
      <c r="A2" s="153"/>
      <c r="B2" s="153"/>
      <c r="C2" s="153"/>
      <c r="D2" s="153"/>
      <c r="E2" s="153"/>
      <c r="F2" s="153"/>
      <c r="G2" s="153"/>
      <c r="H2" s="153"/>
      <c r="I2" s="153"/>
      <c r="J2" s="153"/>
      <c r="K2" s="153"/>
      <c r="L2" s="153"/>
    </row>
    <row r="3" spans="1:12" ht="15.75" x14ac:dyDescent="0.25">
      <c r="A3" s="153"/>
      <c r="B3" s="153"/>
      <c r="C3" s="153"/>
      <c r="D3" s="153"/>
      <c r="E3" s="153"/>
      <c r="F3" s="153"/>
      <c r="G3" s="153"/>
      <c r="H3" s="153"/>
      <c r="I3" s="153"/>
      <c r="J3" s="153"/>
      <c r="K3" s="153"/>
      <c r="L3" s="153"/>
    </row>
    <row r="4" spans="1:12" ht="15.75" x14ac:dyDescent="0.25">
      <c r="A4" s="153"/>
      <c r="B4" s="153"/>
      <c r="C4" s="153"/>
      <c r="D4" s="153"/>
      <c r="E4" s="153"/>
      <c r="F4" s="153"/>
      <c r="G4" s="153"/>
      <c r="H4" s="153"/>
      <c r="I4" s="153"/>
      <c r="J4" s="153"/>
      <c r="K4" s="153"/>
      <c r="L4" s="153"/>
    </row>
    <row r="5" spans="1:12" ht="15.75" x14ac:dyDescent="0.25">
      <c r="A5" s="153"/>
      <c r="B5" s="153"/>
      <c r="C5" s="153"/>
      <c r="D5" s="153"/>
      <c r="E5" s="153"/>
      <c r="F5" s="153"/>
      <c r="G5" s="153"/>
      <c r="H5" s="153"/>
      <c r="I5" s="153"/>
      <c r="J5" s="153"/>
      <c r="K5" s="153"/>
      <c r="L5" s="153"/>
    </row>
    <row r="6" spans="1:12" ht="26.25" x14ac:dyDescent="0.4">
      <c r="A6" s="153"/>
      <c r="B6" s="154" t="s">
        <v>89</v>
      </c>
      <c r="C6" s="155"/>
      <c r="D6" s="153"/>
      <c r="E6" s="153"/>
      <c r="F6" s="153"/>
      <c r="G6" s="153"/>
      <c r="H6" s="153"/>
      <c r="I6" s="153"/>
      <c r="J6" s="153"/>
      <c r="K6" s="153"/>
      <c r="L6" s="153"/>
    </row>
    <row r="7" spans="1:12" ht="26.25" x14ac:dyDescent="0.4">
      <c r="A7" s="153"/>
      <c r="B7" s="154"/>
      <c r="C7" s="155"/>
      <c r="D7" s="153"/>
      <c r="E7" s="153"/>
      <c r="F7" s="153"/>
      <c r="G7" s="153"/>
      <c r="H7" s="153"/>
      <c r="I7" s="153"/>
      <c r="J7" s="153"/>
      <c r="K7" s="153"/>
      <c r="L7" s="153"/>
    </row>
    <row r="8" spans="1:12" ht="15.75" x14ac:dyDescent="0.25">
      <c r="A8" s="153"/>
      <c r="B8" s="3">
        <f>Instructions!C46</f>
        <v>0</v>
      </c>
      <c r="C8" s="153"/>
      <c r="D8" s="153"/>
      <c r="E8" s="153"/>
      <c r="F8" s="153"/>
      <c r="G8" s="153"/>
      <c r="H8" s="153"/>
      <c r="I8" s="153"/>
      <c r="J8" s="153"/>
      <c r="K8" s="153"/>
      <c r="L8" s="153"/>
    </row>
    <row r="9" spans="1:12" ht="15.75" x14ac:dyDescent="0.25">
      <c r="A9" s="153"/>
      <c r="B9" s="3">
        <f>Instructions!C47</f>
        <v>0</v>
      </c>
      <c r="C9" s="153"/>
      <c r="D9" s="153"/>
      <c r="E9" s="153"/>
      <c r="F9" s="153"/>
      <c r="G9" s="153"/>
      <c r="H9" s="153"/>
      <c r="I9" s="153"/>
      <c r="J9" s="153"/>
      <c r="K9" s="153"/>
      <c r="L9" s="153"/>
    </row>
    <row r="10" spans="1:12" ht="15.75" x14ac:dyDescent="0.25">
      <c r="A10" s="153"/>
      <c r="B10" s="3">
        <f>Instructions!C48</f>
        <v>0</v>
      </c>
      <c r="C10" s="153"/>
      <c r="D10" s="153"/>
      <c r="E10" s="153"/>
      <c r="F10" s="153"/>
      <c r="G10" s="153"/>
      <c r="H10" s="153"/>
      <c r="I10" s="153"/>
      <c r="J10" s="153"/>
      <c r="K10" s="153"/>
      <c r="L10" s="153"/>
    </row>
    <row r="11" spans="1:12" ht="15.75" x14ac:dyDescent="0.25">
      <c r="A11" s="153"/>
      <c r="B11" s="208"/>
      <c r="C11" s="208"/>
      <c r="D11" s="153"/>
      <c r="E11" s="153"/>
      <c r="F11" s="153"/>
      <c r="G11" s="153"/>
      <c r="H11" s="153"/>
      <c r="I11" s="153"/>
      <c r="J11" s="153"/>
      <c r="K11" s="153"/>
      <c r="L11" s="153"/>
    </row>
    <row r="12" spans="1:12" ht="15.75" x14ac:dyDescent="0.25">
      <c r="A12" s="153"/>
      <c r="B12" s="153"/>
      <c r="C12" s="153"/>
      <c r="D12" s="153"/>
      <c r="E12" s="153"/>
      <c r="F12" s="153"/>
      <c r="G12" s="153"/>
      <c r="H12" s="153"/>
      <c r="I12" s="153"/>
      <c r="J12" s="153"/>
      <c r="K12" s="153"/>
      <c r="L12" s="153"/>
    </row>
    <row r="13" spans="1:12" ht="15.75" x14ac:dyDescent="0.25">
      <c r="A13" s="153"/>
      <c r="B13" s="153"/>
      <c r="C13" s="153"/>
      <c r="D13" s="153"/>
      <c r="E13" s="153"/>
      <c r="F13" s="153"/>
      <c r="G13" s="153"/>
      <c r="H13" s="153"/>
      <c r="I13" s="153"/>
      <c r="J13" s="153"/>
      <c r="K13" s="153"/>
      <c r="L13" s="153"/>
    </row>
    <row r="14" spans="1:12" ht="15.75" x14ac:dyDescent="0.25">
      <c r="A14" s="153"/>
      <c r="B14" s="153"/>
      <c r="C14" s="153"/>
      <c r="D14" s="153"/>
      <c r="E14" s="153"/>
      <c r="F14" s="153"/>
      <c r="G14" s="153"/>
      <c r="H14" s="153"/>
      <c r="I14" s="153"/>
      <c r="J14" s="153"/>
      <c r="K14" s="153"/>
      <c r="L14" s="153"/>
    </row>
    <row r="15" spans="1:12" ht="15.75" x14ac:dyDescent="0.25">
      <c r="A15" s="153"/>
      <c r="B15" s="153"/>
      <c r="C15" s="153"/>
      <c r="D15" s="153"/>
      <c r="E15" s="153"/>
      <c r="F15" s="153"/>
      <c r="G15" s="153"/>
      <c r="H15" s="153"/>
      <c r="I15" s="153"/>
      <c r="J15" s="153"/>
      <c r="K15" s="153"/>
      <c r="L15" s="153"/>
    </row>
    <row r="16" spans="1:12" ht="21" x14ac:dyDescent="0.35">
      <c r="A16" s="156"/>
      <c r="B16" s="157" t="s">
        <v>60</v>
      </c>
      <c r="C16" s="156"/>
      <c r="D16" s="156"/>
      <c r="E16" s="156"/>
      <c r="H16" s="156"/>
      <c r="I16" s="156"/>
      <c r="J16" s="156"/>
      <c r="K16" s="156"/>
      <c r="L16" s="156"/>
    </row>
    <row r="17" spans="1:12" ht="15.75" x14ac:dyDescent="0.25">
      <c r="A17" s="153"/>
      <c r="B17" s="18" t="s">
        <v>210</v>
      </c>
      <c r="C17" s="57">
        <f>'Assumptions &amp; Monthly Breakdown'!C26+'Assumptions &amp; Monthly Breakdown'!C30</f>
        <v>1200</v>
      </c>
      <c r="D17" s="153"/>
      <c r="E17" s="153"/>
      <c r="F17" s="5"/>
      <c r="G17" s="209" t="s">
        <v>216</v>
      </c>
      <c r="H17" s="209"/>
      <c r="I17" s="209"/>
      <c r="J17" s="153"/>
      <c r="K17" s="153"/>
      <c r="L17" s="153"/>
    </row>
    <row r="18" spans="1:12" ht="15.75" x14ac:dyDescent="0.25">
      <c r="A18" s="153"/>
      <c r="B18" s="158" t="s">
        <v>41</v>
      </c>
      <c r="C18" s="58">
        <f>'Assumptions &amp; Monthly Breakdown'!C27</f>
        <v>0</v>
      </c>
      <c r="D18" s="153"/>
      <c r="E18" s="153"/>
      <c r="F18" s="2" t="s">
        <v>80</v>
      </c>
      <c r="G18" s="159" t="s">
        <v>53</v>
      </c>
      <c r="H18" s="160" t="s">
        <v>54</v>
      </c>
      <c r="I18" s="159" t="s">
        <v>55</v>
      </c>
      <c r="J18" s="153"/>
      <c r="K18" s="153"/>
      <c r="L18" s="153"/>
    </row>
    <row r="19" spans="1:12" ht="15.75" x14ac:dyDescent="0.25">
      <c r="A19" s="153"/>
      <c r="B19" s="158" t="s">
        <v>42</v>
      </c>
      <c r="C19" s="59">
        <f>'Assumptions &amp; Monthly Breakdown'!C28</f>
        <v>100</v>
      </c>
      <c r="D19" s="153"/>
      <c r="E19" s="153"/>
      <c r="F19" s="1" t="s">
        <v>81</v>
      </c>
      <c r="G19" s="80">
        <v>9.1999999999999998E-2</v>
      </c>
      <c r="H19" s="161">
        <v>0.09</v>
      </c>
      <c r="I19" s="80">
        <v>8.7999999999999995E-2</v>
      </c>
      <c r="J19" s="153"/>
      <c r="K19" s="153"/>
      <c r="L19" s="153"/>
    </row>
    <row r="20" spans="1:12" ht="15.75" x14ac:dyDescent="0.25">
      <c r="A20" s="153"/>
      <c r="B20" s="162" t="s">
        <v>67</v>
      </c>
      <c r="C20" s="60">
        <f>'Assumptions &amp; Monthly Breakdown'!C29</f>
        <v>1000</v>
      </c>
      <c r="D20" s="153"/>
      <c r="F20" s="2" t="s">
        <v>69</v>
      </c>
      <c r="G20" s="56">
        <f>$C$29*G19</f>
        <v>942.10238033910582</v>
      </c>
      <c r="H20" s="56">
        <f>$C$29*H19</f>
        <v>921.62189380999484</v>
      </c>
      <c r="I20" s="56">
        <f>$C$29*I19</f>
        <v>901.14140728088375</v>
      </c>
      <c r="J20" s="153"/>
      <c r="K20" s="153"/>
      <c r="L20" s="153"/>
    </row>
    <row r="21" spans="1:12" ht="15.75" x14ac:dyDescent="0.25">
      <c r="A21" s="153"/>
      <c r="B21" s="158" t="s">
        <v>43</v>
      </c>
      <c r="C21" s="61">
        <f>SUM('Assumptions &amp; Monthly Breakdown'!C30:C34)</f>
        <v>2300</v>
      </c>
      <c r="D21" s="153"/>
      <c r="E21" s="153"/>
      <c r="F21" s="2" t="s">
        <v>82</v>
      </c>
      <c r="G21" s="80">
        <v>0.10299999999999999</v>
      </c>
      <c r="H21" s="80">
        <v>0.10299999999999999</v>
      </c>
      <c r="I21" s="80">
        <v>0.10299999999999999</v>
      </c>
      <c r="J21" s="153"/>
      <c r="K21" s="153"/>
      <c r="L21" s="153"/>
    </row>
    <row r="22" spans="1:12" ht="15.75" x14ac:dyDescent="0.25">
      <c r="A22" s="153"/>
      <c r="B22" s="158" t="s">
        <v>45</v>
      </c>
      <c r="C22" s="62">
        <f>C31</f>
        <v>7590.765791137499</v>
      </c>
      <c r="D22" s="153"/>
      <c r="E22" s="153"/>
      <c r="F22" s="2" t="s">
        <v>83</v>
      </c>
      <c r="G22" s="56">
        <f>C29*G21</f>
        <v>1054.7450562492163</v>
      </c>
      <c r="H22" s="56">
        <f>C29*H21</f>
        <v>1054.7450562492163</v>
      </c>
      <c r="I22" s="56">
        <f>C29*I21</f>
        <v>1054.7450562492163</v>
      </c>
      <c r="J22" s="153"/>
      <c r="K22" s="153"/>
      <c r="L22" s="153"/>
    </row>
    <row r="23" spans="1:12" ht="15.75" x14ac:dyDescent="0.25">
      <c r="A23" s="153"/>
      <c r="B23" s="163" t="s">
        <v>47</v>
      </c>
      <c r="C23" s="63">
        <f>SUM(C17:C22)</f>
        <v>12190.765791137499</v>
      </c>
      <c r="D23" s="153"/>
      <c r="E23" s="153"/>
      <c r="F23" s="164" t="s">
        <v>84</v>
      </c>
      <c r="G23" s="165">
        <f>'Assumptions &amp; Monthly Breakdown'!S44/'Loan Summary | Use of Funds'!G22</f>
        <v>-28.677096669774016</v>
      </c>
      <c r="H23" s="165">
        <f>'Assumptions &amp; Monthly Breakdown'!AI44/'Loan Summary | Use of Funds'!H22</f>
        <v>-29.500437595895221</v>
      </c>
      <c r="I23" s="165">
        <f>'Assumptions &amp; Monthly Breakdown'!AY44/'Loan Summary | Use of Funds'!I22</f>
        <v>-30.348383840643539</v>
      </c>
      <c r="J23" s="153"/>
      <c r="K23" s="153"/>
      <c r="L23" s="153"/>
    </row>
    <row r="24" spans="1:12" ht="15.75" x14ac:dyDescent="0.25">
      <c r="A24" s="153"/>
      <c r="B24" s="158" t="s">
        <v>68</v>
      </c>
      <c r="C24" s="64">
        <f>(C23-C27)*'Assumptions &amp; Monthly Breakdown'!C36</f>
        <v>487.63063164549999</v>
      </c>
      <c r="D24" s="166"/>
      <c r="E24" s="153"/>
      <c r="F24" s="153"/>
      <c r="H24" s="153"/>
      <c r="I24" s="153"/>
      <c r="J24" s="153"/>
      <c r="K24" s="153"/>
      <c r="L24" s="153"/>
    </row>
    <row r="25" spans="1:12" ht="15.75" x14ac:dyDescent="0.25">
      <c r="A25" s="153"/>
      <c r="B25" s="163" t="s">
        <v>66</v>
      </c>
      <c r="C25" s="63">
        <f>C23+C24</f>
        <v>12678.396422782998</v>
      </c>
      <c r="D25" s="153"/>
      <c r="E25" s="167"/>
      <c r="H25" s="153"/>
      <c r="I25" s="153"/>
      <c r="J25" s="153"/>
      <c r="K25" s="153"/>
      <c r="L25" s="153"/>
    </row>
    <row r="26" spans="1:12" ht="15.75" x14ac:dyDescent="0.25">
      <c r="A26" s="153"/>
      <c r="B26" s="153"/>
      <c r="C26" s="65"/>
      <c r="D26" s="153"/>
      <c r="E26" s="167"/>
      <c r="H26" s="153"/>
      <c r="I26" s="153"/>
      <c r="J26" s="153"/>
      <c r="K26" s="153"/>
      <c r="L26" s="153"/>
    </row>
    <row r="27" spans="1:12" ht="15.75" x14ac:dyDescent="0.25">
      <c r="A27" s="153"/>
      <c r="B27" s="163" t="s">
        <v>49</v>
      </c>
      <c r="C27" s="66">
        <f>(C23-C28)*'Assumptions &amp; Monthly Breakdown'!C25</f>
        <v>2438.1531582274997</v>
      </c>
      <c r="D27" s="168"/>
      <c r="E27" s="167"/>
      <c r="G27" s="153"/>
      <c r="H27" s="153"/>
      <c r="I27" s="153"/>
      <c r="J27" s="153"/>
      <c r="K27" s="153"/>
      <c r="L27" s="153"/>
    </row>
    <row r="28" spans="1:12" ht="15.75" x14ac:dyDescent="0.25">
      <c r="A28" s="153"/>
      <c r="B28" s="158"/>
      <c r="C28" s="66"/>
      <c r="E28" s="167"/>
      <c r="G28" s="153"/>
      <c r="H28" s="153"/>
      <c r="I28" s="153"/>
      <c r="J28" s="153"/>
      <c r="K28" s="153"/>
      <c r="L28" s="153"/>
    </row>
    <row r="29" spans="1:12" ht="15.75" x14ac:dyDescent="0.25">
      <c r="A29" s="153"/>
      <c r="B29" s="163" t="s">
        <v>51</v>
      </c>
      <c r="C29" s="63">
        <f>C25-C27-C28</f>
        <v>10240.243264555498</v>
      </c>
      <c r="D29" s="153"/>
      <c r="E29" s="153"/>
      <c r="G29" s="153"/>
      <c r="H29" s="153"/>
      <c r="I29" s="153"/>
      <c r="J29" s="153"/>
      <c r="K29" s="153"/>
      <c r="L29" s="153"/>
    </row>
    <row r="30" spans="1:12" ht="15.75" x14ac:dyDescent="0.25">
      <c r="A30" s="153"/>
      <c r="B30" s="153"/>
      <c r="C30" s="153"/>
      <c r="D30" s="168"/>
      <c r="E30" s="153"/>
      <c r="G30" s="153"/>
      <c r="H30" s="153"/>
      <c r="I30" s="153"/>
      <c r="J30" s="153"/>
      <c r="K30" s="153"/>
      <c r="L30" s="153"/>
    </row>
    <row r="31" spans="1:12" ht="15.75" x14ac:dyDescent="0.25">
      <c r="A31" s="153"/>
      <c r="B31" s="169" t="s">
        <v>45</v>
      </c>
      <c r="C31" s="67">
        <f>('Assumptions &amp; Monthly Breakdown'!S47/12)*C32</f>
        <v>7590.765791137499</v>
      </c>
      <c r="D31" s="153"/>
      <c r="E31" s="153"/>
      <c r="G31" s="153"/>
      <c r="H31" s="153"/>
      <c r="I31" s="153"/>
      <c r="J31" s="153"/>
      <c r="K31" s="153"/>
      <c r="L31" s="153"/>
    </row>
    <row r="32" spans="1:12" ht="15.75" x14ac:dyDescent="0.25">
      <c r="A32" s="153"/>
      <c r="B32" s="162" t="s">
        <v>52</v>
      </c>
      <c r="C32" s="170">
        <v>3</v>
      </c>
      <c r="D32" s="153"/>
      <c r="E32" s="153"/>
      <c r="F32" s="3" t="s">
        <v>101</v>
      </c>
      <c r="G32" s="153"/>
      <c r="H32" s="153"/>
      <c r="I32" s="153"/>
      <c r="J32" s="153"/>
      <c r="K32" s="153"/>
      <c r="L32" s="153"/>
    </row>
    <row r="33" spans="1:12" ht="15.75" x14ac:dyDescent="0.25">
      <c r="A33" s="153"/>
      <c r="B33" s="171" t="s">
        <v>88</v>
      </c>
      <c r="C33" s="153"/>
      <c r="D33" s="153"/>
      <c r="E33" s="153"/>
      <c r="F33" s="2" t="str">
        <f>Instructions!B59</f>
        <v>Business Finance Depot</v>
      </c>
      <c r="G33" s="153"/>
      <c r="H33" s="153"/>
      <c r="I33" s="153"/>
      <c r="J33" s="153"/>
      <c r="K33" s="153"/>
      <c r="L33" s="153"/>
    </row>
    <row r="34" spans="1:12" ht="15.75" x14ac:dyDescent="0.25">
      <c r="A34" s="153"/>
      <c r="B34" s="153"/>
      <c r="C34" s="153"/>
      <c r="D34" s="153"/>
      <c r="E34" s="153"/>
      <c r="F34" s="2" t="str">
        <f>Instructions!B60</f>
        <v>Paul Bosley</v>
      </c>
      <c r="G34" s="153"/>
      <c r="H34" s="153"/>
      <c r="I34" s="153"/>
      <c r="J34" s="153"/>
      <c r="K34" s="153"/>
      <c r="L34" s="153"/>
    </row>
    <row r="35" spans="1:12" ht="15.75" x14ac:dyDescent="0.25">
      <c r="A35" s="153"/>
      <c r="B35" s="172" t="s">
        <v>84</v>
      </c>
      <c r="C35" s="173">
        <f>G23</f>
        <v>-28.677096669774016</v>
      </c>
      <c r="D35" s="153"/>
      <c r="E35" s="153"/>
      <c r="F35" s="2" t="str">
        <f>Instructions!B61</f>
        <v>W: Businessfinancedepot.com</v>
      </c>
      <c r="G35" s="153"/>
      <c r="H35" s="153"/>
      <c r="I35" s="153"/>
      <c r="J35" s="153"/>
      <c r="K35" s="153"/>
      <c r="L35" s="153"/>
    </row>
    <row r="36" spans="1:12" ht="15.75" x14ac:dyDescent="0.25">
      <c r="A36" s="153"/>
      <c r="B36" s="174"/>
      <c r="C36" s="175"/>
      <c r="D36" s="153"/>
      <c r="E36" s="153"/>
      <c r="F36" s="2" t="str">
        <f>Instructions!B62</f>
        <v>E: Paul@BusinessFinanceDepot.com</v>
      </c>
      <c r="G36" s="153"/>
      <c r="H36" s="153"/>
      <c r="I36" s="153"/>
      <c r="J36" s="153"/>
      <c r="K36" s="153"/>
      <c r="L36" s="153"/>
    </row>
    <row r="37" spans="1:12" ht="15.75" x14ac:dyDescent="0.25">
      <c r="A37" s="153"/>
      <c r="B37" s="174"/>
      <c r="C37" s="175"/>
      <c r="D37" s="153"/>
      <c r="E37" s="153"/>
      <c r="F37" s="2" t="str">
        <f>Instructions!B63</f>
        <v>P: 800-788-3884</v>
      </c>
      <c r="G37" s="153"/>
      <c r="H37" s="153"/>
      <c r="I37" s="153"/>
      <c r="J37" s="153"/>
      <c r="K37" s="153"/>
      <c r="L37" s="153"/>
    </row>
    <row r="38" spans="1:12" ht="15.75" x14ac:dyDescent="0.25">
      <c r="A38" s="153"/>
      <c r="G38" s="2"/>
      <c r="H38" s="153"/>
      <c r="I38" s="153"/>
      <c r="J38" s="153"/>
      <c r="K38" s="153"/>
      <c r="L38" s="153"/>
    </row>
    <row r="39" spans="1:12" ht="15.75" x14ac:dyDescent="0.25">
      <c r="A39" s="153"/>
      <c r="B39" s="2" t="s">
        <v>123</v>
      </c>
      <c r="C39" s="2"/>
      <c r="D39" s="2"/>
      <c r="E39" s="2"/>
      <c r="F39" s="4"/>
      <c r="G39" s="2"/>
      <c r="H39" s="153"/>
      <c r="I39" s="153"/>
      <c r="J39" s="153"/>
      <c r="K39" s="153"/>
      <c r="L39" s="153"/>
    </row>
    <row r="40" spans="1:12" ht="15.75" x14ac:dyDescent="0.25">
      <c r="A40" s="153"/>
      <c r="B40" s="2"/>
      <c r="C40" s="2"/>
      <c r="D40" s="2"/>
      <c r="E40" s="2"/>
      <c r="F40" s="2"/>
      <c r="G40" s="2"/>
      <c r="H40" s="153"/>
      <c r="I40" s="153"/>
      <c r="J40" s="153"/>
      <c r="K40" s="153"/>
      <c r="L40" s="153"/>
    </row>
    <row r="41" spans="1:12" ht="15.75" x14ac:dyDescent="0.25">
      <c r="A41" s="153"/>
      <c r="B41" s="11">
        <f>Instructions!C48</f>
        <v>0</v>
      </c>
      <c r="C41" s="11"/>
      <c r="D41" s="11"/>
      <c r="E41" s="12"/>
      <c r="F41" s="12">
        <f ca="1">TODAY()</f>
        <v>46291</v>
      </c>
      <c r="G41" s="2"/>
      <c r="H41" s="153"/>
      <c r="I41" s="153"/>
      <c r="J41" s="153"/>
      <c r="K41" s="153"/>
      <c r="L41" s="153"/>
    </row>
    <row r="42" spans="1:12" ht="15.75" x14ac:dyDescent="0.25">
      <c r="A42" s="153"/>
      <c r="B42" s="3" t="s">
        <v>78</v>
      </c>
      <c r="C42" s="2"/>
      <c r="D42" s="3"/>
      <c r="E42" s="13"/>
      <c r="F42" s="13" t="s">
        <v>7</v>
      </c>
      <c r="G42" s="153"/>
      <c r="H42" s="153"/>
      <c r="I42" s="153"/>
      <c r="J42" s="153"/>
      <c r="K42" s="153"/>
      <c r="L42" s="153"/>
    </row>
    <row r="43" spans="1:12" ht="15.75" x14ac:dyDescent="0.25">
      <c r="A43" s="153"/>
      <c r="C43" s="153"/>
      <c r="D43" s="153"/>
      <c r="E43" s="153"/>
      <c r="F43" s="153"/>
      <c r="G43" s="153"/>
      <c r="H43" s="153"/>
      <c r="I43" s="153"/>
      <c r="J43" s="153"/>
      <c r="K43" s="153"/>
      <c r="L43" s="153"/>
    </row>
    <row r="44" spans="1:12" ht="15.75" x14ac:dyDescent="0.25">
      <c r="A44" s="153"/>
      <c r="B44" s="55" t="s">
        <v>206</v>
      </c>
      <c r="C44" s="153"/>
      <c r="D44" s="153"/>
      <c r="E44" s="153"/>
      <c r="F44" s="153"/>
      <c r="G44" s="153"/>
      <c r="H44" s="153"/>
      <c r="I44" s="153"/>
      <c r="J44" s="153"/>
      <c r="K44" s="153"/>
      <c r="L44" s="153"/>
    </row>
  </sheetData>
  <sheetProtection algorithmName="SHA-512" hashValue="AAm+HFZzLdF8RtvDIFuz7OXCr0WQFKY8lXYgekpG+FMTDrNfS2Lq2B6k8njuuNVMG60iZx0bO4obFRdNzoNxGg==" saltValue="0TACX4SGy+j1qpp/pwAWzg==" spinCount="100000" sheet="1" objects="1" scenarios="1"/>
  <mergeCells count="2">
    <mergeCell ref="B11:C11"/>
    <mergeCell ref="G17:I17"/>
  </mergeCells>
  <pageMargins left="0.7" right="0.7" top="0.75" bottom="0.75" header="0.3" footer="0.3"/>
  <pageSetup scale="70" orientation="landscape" horizontalDpi="4294967293" verticalDpi="0" r:id="rId1"/>
  <ignoredErrors>
    <ignoredError sqref="C2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61"/>
  <sheetViews>
    <sheetView topLeftCell="A13" zoomScale="120" zoomScaleNormal="120" workbookViewId="0">
      <selection activeCell="E30" sqref="E30"/>
    </sheetView>
  </sheetViews>
  <sheetFormatPr defaultColWidth="9.140625" defaultRowHeight="12.75" x14ac:dyDescent="0.2"/>
  <cols>
    <col min="1" max="1" width="1.7109375" customWidth="1"/>
    <col min="2" max="2" width="32.7109375" customWidth="1"/>
    <col min="3" max="3" width="13.7109375" customWidth="1"/>
    <col min="4" max="4" width="10.7109375" customWidth="1"/>
    <col min="5" max="5" width="13.7109375" customWidth="1"/>
    <col min="6" max="6" width="11.7109375" customWidth="1"/>
    <col min="7" max="7" width="13.7109375" customWidth="1"/>
    <col min="8" max="8" width="9.140625" customWidth="1"/>
    <col min="9" max="9" width="3.140625" customWidth="1"/>
  </cols>
  <sheetData>
    <row r="1" spans="1:13" ht="15.75" x14ac:dyDescent="0.25">
      <c r="A1" s="2"/>
      <c r="B1" s="2"/>
      <c r="C1" s="2"/>
      <c r="D1" s="2"/>
      <c r="E1" s="2"/>
      <c r="F1" s="2"/>
      <c r="G1" s="2"/>
      <c r="H1" s="2"/>
      <c r="I1" s="2"/>
      <c r="J1" s="2"/>
      <c r="K1" s="2"/>
      <c r="L1" s="2"/>
      <c r="M1" s="2"/>
    </row>
    <row r="2" spans="1:13" ht="15.75" x14ac:dyDescent="0.25">
      <c r="A2" s="2"/>
      <c r="B2" s="2"/>
      <c r="C2" s="2"/>
      <c r="D2" s="2"/>
      <c r="E2" s="2"/>
      <c r="F2" s="2"/>
      <c r="G2" s="2"/>
      <c r="H2" s="2"/>
      <c r="I2" s="2"/>
      <c r="J2" s="2"/>
      <c r="K2" s="2"/>
      <c r="L2" s="2"/>
      <c r="M2" s="2"/>
    </row>
    <row r="3" spans="1:13" ht="15.75" x14ac:dyDescent="0.25">
      <c r="A3" s="2"/>
      <c r="B3" s="2"/>
      <c r="C3" s="2"/>
      <c r="D3" s="2"/>
      <c r="E3" s="2"/>
      <c r="F3" s="2"/>
      <c r="G3" s="2"/>
      <c r="H3" s="2"/>
      <c r="I3" s="2"/>
      <c r="J3" s="2"/>
      <c r="K3" s="2"/>
      <c r="L3" s="2"/>
      <c r="M3" s="2"/>
    </row>
    <row r="4" spans="1:13" ht="15.75" x14ac:dyDescent="0.25">
      <c r="A4" s="2"/>
      <c r="B4" s="2"/>
      <c r="C4" s="2"/>
      <c r="D4" s="2"/>
      <c r="E4" s="2"/>
      <c r="F4" s="2"/>
      <c r="G4" s="2"/>
      <c r="H4" s="2"/>
      <c r="I4" s="2"/>
      <c r="J4" s="2"/>
      <c r="K4" s="2"/>
      <c r="L4" s="2"/>
      <c r="M4" s="2"/>
    </row>
    <row r="5" spans="1:13" ht="15.75" x14ac:dyDescent="0.25">
      <c r="A5" s="2"/>
      <c r="B5" s="2"/>
      <c r="C5" s="2"/>
      <c r="D5" s="2"/>
      <c r="E5" s="2"/>
      <c r="F5" s="2"/>
      <c r="G5" s="2"/>
      <c r="H5" s="2"/>
      <c r="I5" s="2"/>
      <c r="J5" s="2"/>
      <c r="K5" s="2"/>
      <c r="L5" s="2"/>
      <c r="M5" s="2"/>
    </row>
    <row r="6" spans="1:13" ht="15.75" x14ac:dyDescent="0.25">
      <c r="A6" s="2"/>
      <c r="B6" s="2"/>
      <c r="C6" s="2"/>
      <c r="D6" s="2"/>
      <c r="E6" s="2"/>
      <c r="F6" s="2"/>
      <c r="G6" s="2"/>
      <c r="H6" s="2"/>
      <c r="I6" s="2"/>
      <c r="J6" s="2"/>
      <c r="K6" s="2"/>
      <c r="L6" s="2"/>
      <c r="M6" s="2"/>
    </row>
    <row r="7" spans="1:13" ht="38.450000000000003" customHeight="1" x14ac:dyDescent="0.4">
      <c r="A7" s="89"/>
      <c r="B7" s="210" t="s">
        <v>93</v>
      </c>
      <c r="C7" s="210"/>
      <c r="D7" s="210"/>
      <c r="E7" s="210"/>
      <c r="F7" s="210"/>
      <c r="G7" s="210"/>
      <c r="H7" s="210"/>
      <c r="I7" s="89"/>
      <c r="J7" s="89"/>
      <c r="K7" s="89"/>
      <c r="L7" s="89"/>
      <c r="M7" s="89"/>
    </row>
    <row r="8" spans="1:13" ht="16.149999999999999" customHeight="1" x14ac:dyDescent="0.25">
      <c r="A8" s="2"/>
      <c r="B8" s="3">
        <f>Instructions!C46</f>
        <v>0</v>
      </c>
      <c r="C8" s="2"/>
      <c r="D8" s="2"/>
      <c r="E8" s="2"/>
      <c r="F8" s="2"/>
      <c r="G8" s="2"/>
      <c r="H8" s="2"/>
      <c r="I8" s="2"/>
      <c r="J8" s="2"/>
      <c r="K8" s="2"/>
      <c r="L8" s="2"/>
      <c r="M8" s="2"/>
    </row>
    <row r="9" spans="1:13" ht="17.45" customHeight="1" x14ac:dyDescent="0.25">
      <c r="A9" s="2"/>
      <c r="B9" s="3">
        <f>Instructions!C47</f>
        <v>0</v>
      </c>
      <c r="C9" s="2"/>
      <c r="D9" s="2"/>
      <c r="E9" s="2"/>
      <c r="F9" s="2"/>
      <c r="G9" s="2"/>
      <c r="H9" s="2"/>
      <c r="I9" s="2"/>
      <c r="J9" s="2"/>
      <c r="K9" s="2"/>
      <c r="L9" s="2"/>
      <c r="M9" s="2"/>
    </row>
    <row r="10" spans="1:13" ht="14.45" customHeight="1" x14ac:dyDescent="0.25">
      <c r="A10" s="2"/>
      <c r="B10" s="3">
        <f>Instructions!C48</f>
        <v>0</v>
      </c>
      <c r="C10" s="2"/>
      <c r="D10" s="2"/>
      <c r="E10" s="2"/>
      <c r="F10" s="2"/>
      <c r="G10" s="2"/>
      <c r="H10" s="2"/>
      <c r="I10" s="2"/>
      <c r="J10" s="2"/>
      <c r="K10" s="2"/>
      <c r="L10" s="2"/>
      <c r="M10" s="2"/>
    </row>
    <row r="11" spans="1:13" ht="20.25" customHeight="1" x14ac:dyDescent="0.25">
      <c r="A11" s="2"/>
      <c r="B11" s="3"/>
      <c r="C11" s="2"/>
      <c r="D11" s="2"/>
      <c r="E11" s="2"/>
      <c r="F11" s="2"/>
      <c r="G11" s="2"/>
      <c r="H11" s="2"/>
      <c r="I11" s="2"/>
      <c r="J11" s="2"/>
      <c r="K11" s="2"/>
      <c r="L11" s="2"/>
      <c r="M11" s="2"/>
    </row>
    <row r="12" spans="1:13" ht="20.25" customHeight="1" x14ac:dyDescent="0.25">
      <c r="A12" s="3"/>
      <c r="B12" s="3"/>
      <c r="C12" s="2"/>
      <c r="D12" s="2"/>
      <c r="E12" s="2"/>
      <c r="F12" s="2"/>
      <c r="G12" s="2"/>
      <c r="H12" s="2"/>
      <c r="I12" s="2"/>
      <c r="J12" s="2"/>
      <c r="K12" s="2"/>
      <c r="L12" s="2"/>
      <c r="M12" s="2"/>
    </row>
    <row r="13" spans="1:13" ht="20.25" customHeight="1" x14ac:dyDescent="0.25">
      <c r="A13" s="3"/>
      <c r="B13" s="3"/>
      <c r="C13" s="2"/>
      <c r="D13" s="2"/>
      <c r="E13" s="2"/>
      <c r="F13" s="2"/>
      <c r="G13" s="2"/>
      <c r="H13" s="2"/>
      <c r="I13" s="2"/>
      <c r="J13" s="2"/>
      <c r="K13" s="2"/>
      <c r="L13" s="2"/>
      <c r="M13" s="2"/>
    </row>
    <row r="14" spans="1:13" ht="20.25" customHeight="1" x14ac:dyDescent="0.25">
      <c r="A14" s="3"/>
      <c r="B14" s="3"/>
      <c r="C14" s="2"/>
      <c r="D14" s="2"/>
      <c r="E14" s="2"/>
      <c r="F14" s="2"/>
      <c r="G14" s="2"/>
      <c r="H14" s="2"/>
      <c r="I14" s="2"/>
      <c r="J14" s="2"/>
      <c r="K14" s="2"/>
      <c r="L14" s="2"/>
      <c r="M14" s="2"/>
    </row>
    <row r="15" spans="1:13" ht="15.75" x14ac:dyDescent="0.25">
      <c r="A15" s="2"/>
      <c r="B15" s="211" t="s">
        <v>93</v>
      </c>
      <c r="C15" s="212"/>
      <c r="D15" s="212"/>
      <c r="E15" s="212"/>
      <c r="F15" s="212"/>
      <c r="G15" s="212"/>
      <c r="H15" s="213"/>
      <c r="I15" s="2"/>
      <c r="J15" s="2"/>
      <c r="K15" s="2"/>
      <c r="L15" s="2"/>
      <c r="M15" s="2"/>
    </row>
    <row r="16" spans="1:13" ht="15.75" x14ac:dyDescent="0.25">
      <c r="A16" s="2"/>
      <c r="B16" s="6"/>
      <c r="C16" s="177" t="s">
        <v>53</v>
      </c>
      <c r="D16" s="80" t="s">
        <v>8</v>
      </c>
      <c r="E16" s="177" t="s">
        <v>54</v>
      </c>
      <c r="F16" s="80" t="s">
        <v>8</v>
      </c>
      <c r="G16" s="177" t="s">
        <v>55</v>
      </c>
      <c r="H16" s="80" t="s">
        <v>8</v>
      </c>
      <c r="I16" s="2"/>
      <c r="J16" s="2"/>
      <c r="K16" s="2"/>
      <c r="L16" s="2"/>
      <c r="M16" s="2"/>
    </row>
    <row r="17" spans="1:13" ht="15.75" x14ac:dyDescent="0.25">
      <c r="A17" s="2"/>
      <c r="B17" s="178" t="str">
        <f>'Assumptions &amp; Monthly Breakdown'!F12</f>
        <v xml:space="preserve">Sales:  </v>
      </c>
      <c r="C17" s="179"/>
      <c r="D17" s="180"/>
      <c r="E17" s="179"/>
      <c r="F17" s="180"/>
      <c r="G17" s="179"/>
      <c r="H17" s="180"/>
      <c r="I17" s="2"/>
      <c r="J17" s="2"/>
      <c r="K17" s="2"/>
      <c r="L17" s="2"/>
      <c r="M17" s="2"/>
    </row>
    <row r="18" spans="1:13" ht="12" customHeight="1" x14ac:dyDescent="0.25">
      <c r="A18" s="2"/>
      <c r="B18" s="7" t="s">
        <v>161</v>
      </c>
      <c r="C18" s="81">
        <f>'Assumptions &amp; Monthly Breakdown'!S14</f>
        <v>3.6500000000000004</v>
      </c>
      <c r="D18" s="181"/>
      <c r="E18" s="81">
        <f>'Assumptions &amp; Monthly Breakdown'!AI14</f>
        <v>7.3000000000000007</v>
      </c>
      <c r="F18" s="181"/>
      <c r="G18" s="81">
        <f>'Assumptions &amp; Monthly Breakdown'!AY14</f>
        <v>10.949999999999998</v>
      </c>
      <c r="H18" s="181"/>
      <c r="I18" s="2"/>
      <c r="J18" s="2"/>
      <c r="K18" s="2"/>
      <c r="L18" s="2"/>
      <c r="M18" s="2"/>
    </row>
    <row r="19" spans="1:13" ht="12" customHeight="1" x14ac:dyDescent="0.25">
      <c r="A19" s="2"/>
      <c r="B19" s="25" t="str">
        <f>'Assumptions &amp; Monthly Breakdown'!F15</f>
        <v>Tents/Yurts/Teepees/Wagons (Glamping)</v>
      </c>
      <c r="C19" s="82">
        <f>'Assumptions &amp; Monthly Breakdown'!S15</f>
        <v>36</v>
      </c>
      <c r="D19" s="182">
        <f t="shared" ref="D19:D22" si="0">C19/C$24</f>
        <v>0.99997972263340207</v>
      </c>
      <c r="E19" s="183">
        <f>'Assumptions &amp; Monthly Breakdown'!AI15</f>
        <v>79.199999999999989</v>
      </c>
      <c r="F19" s="182">
        <f t="shared" ref="F19:F22" si="1">E19/E$24</f>
        <v>0.9999594460891309</v>
      </c>
      <c r="G19" s="184">
        <f>'Assumptions &amp; Monthly Breakdown'!AY15</f>
        <v>124.74</v>
      </c>
      <c r="H19" s="182">
        <f t="shared" ref="H19:H22" si="2">G19/G$24</f>
        <v>0.99993917036713609</v>
      </c>
      <c r="I19" s="2"/>
      <c r="J19" s="2"/>
      <c r="K19" s="2"/>
      <c r="L19" s="2"/>
      <c r="M19" s="2"/>
    </row>
    <row r="20" spans="1:13" ht="12" customHeight="1" x14ac:dyDescent="0.25">
      <c r="A20" s="2"/>
      <c r="B20" s="25" t="str">
        <f>'Assumptions &amp; Monthly Breakdown'!F16</f>
        <v>Rentals</v>
      </c>
      <c r="C20" s="82">
        <f>'Assumptions &amp; Monthly Breakdown'!S16</f>
        <v>3.6499999999999993E-4</v>
      </c>
      <c r="D20" s="182">
        <f t="shared" si="0"/>
        <v>1.0138683298921991E-5</v>
      </c>
      <c r="E20" s="183">
        <f>'Assumptions &amp; Monthly Breakdown'!AI16</f>
        <v>1.6060000000000007E-3</v>
      </c>
      <c r="F20" s="182">
        <f t="shared" si="1"/>
        <v>2.0276955434585168E-5</v>
      </c>
      <c r="G20" s="184">
        <f>'Assumptions &amp; Monthly Breakdown'!AY16</f>
        <v>3.794174999999999E-3</v>
      </c>
      <c r="H20" s="182">
        <f t="shared" si="2"/>
        <v>3.0414816432000382E-5</v>
      </c>
      <c r="I20" s="2"/>
      <c r="J20" s="2"/>
      <c r="K20" s="2"/>
      <c r="L20" s="2"/>
      <c r="M20" s="2"/>
    </row>
    <row r="21" spans="1:13" ht="12" customHeight="1" x14ac:dyDescent="0.25">
      <c r="A21" s="2"/>
      <c r="B21" s="25" t="str">
        <f>'Assumptions &amp; Monthly Breakdown'!F17</f>
        <v>Store Sales/Food Service/Retail</v>
      </c>
      <c r="C21" s="82">
        <f>'Assumptions &amp; Monthly Breakdown'!S17</f>
        <v>3.6499999999999993E-4</v>
      </c>
      <c r="D21" s="182">
        <f t="shared" si="0"/>
        <v>1.0138683298921991E-5</v>
      </c>
      <c r="E21" s="183">
        <f>'Assumptions &amp; Monthly Breakdown'!AI17</f>
        <v>1.6060000000000007E-3</v>
      </c>
      <c r="F21" s="182">
        <f t="shared" si="1"/>
        <v>2.0276955434585168E-5</v>
      </c>
      <c r="G21" s="184">
        <f>'Assumptions &amp; Monthly Breakdown'!AY17</f>
        <v>3.794174999999999E-3</v>
      </c>
      <c r="H21" s="182">
        <f t="shared" si="2"/>
        <v>3.0414816432000382E-5</v>
      </c>
      <c r="I21" s="2"/>
      <c r="J21" s="2"/>
      <c r="K21" s="2"/>
      <c r="L21" s="2"/>
      <c r="M21" s="2"/>
    </row>
    <row r="22" spans="1:13" ht="12" customHeight="1" x14ac:dyDescent="0.25">
      <c r="A22" s="2"/>
      <c r="B22" s="25" t="s">
        <v>187</v>
      </c>
      <c r="C22" s="82">
        <f>'Assumptions &amp; Monthly Breakdown'!S18</f>
        <v>3.6500000000000005E-2</v>
      </c>
      <c r="D22" s="182">
        <f t="shared" si="0"/>
        <v>1.0138683298921995E-3</v>
      </c>
      <c r="E22" s="183">
        <f>'Assumptions &amp; Monthly Breakdown'!AI18</f>
        <v>7.3000000000000009E-2</v>
      </c>
      <c r="F22" s="182">
        <f t="shared" si="1"/>
        <v>9.2167979248114365E-4</v>
      </c>
      <c r="G22" s="184">
        <f>'Assumptions &amp; Monthly Breakdown'!AY18</f>
        <v>0.10949999999999997</v>
      </c>
      <c r="H22" s="182">
        <f t="shared" si="2"/>
        <v>8.7777248000001106E-4</v>
      </c>
      <c r="I22" s="2"/>
      <c r="J22" s="2"/>
      <c r="K22" s="2"/>
      <c r="L22" s="2"/>
      <c r="M22" s="2"/>
    </row>
    <row r="23" spans="1:13" ht="12" customHeight="1" x14ac:dyDescent="0.25">
      <c r="A23" s="2"/>
      <c r="B23" s="25" t="str">
        <f>'Assumptions &amp; Monthly Breakdown'!F19</f>
        <v>Cost of Good Sold</v>
      </c>
      <c r="C23" s="83">
        <f>'Assumptions &amp; Monthly Breakdown'!S19</f>
        <v>5.4750000000000001E-6</v>
      </c>
      <c r="D23" s="185">
        <f>C23/C$24</f>
        <v>1.520802494838299E-7</v>
      </c>
      <c r="E23" s="186">
        <f>'Assumptions &amp; Monthly Breakdown'!AI19</f>
        <v>2.4090000000000005E-5</v>
      </c>
      <c r="F23" s="185">
        <f>E23/E$24</f>
        <v>3.0415433151877742E-7</v>
      </c>
      <c r="G23" s="187">
        <f>'Assumptions &amp; Monthly Breakdown'!AY19</f>
        <v>5.6912624999999989E-5</v>
      </c>
      <c r="H23" s="185">
        <f>G23/G$24</f>
        <v>4.5622224648000578E-7</v>
      </c>
      <c r="I23" s="2"/>
      <c r="J23" s="2"/>
      <c r="K23" s="2"/>
      <c r="L23" s="2"/>
      <c r="M23" s="2"/>
    </row>
    <row r="24" spans="1:13" ht="12" customHeight="1" x14ac:dyDescent="0.25">
      <c r="A24" s="2"/>
      <c r="B24" s="26" t="s">
        <v>116</v>
      </c>
      <c r="C24" s="84">
        <f>SUM(C19:C21)</f>
        <v>36.000730000000004</v>
      </c>
      <c r="D24" s="188">
        <f>C24/C$24</f>
        <v>1</v>
      </c>
      <c r="E24" s="84">
        <f>SUM(E19:E21)</f>
        <v>79.203211999999979</v>
      </c>
      <c r="F24" s="188">
        <f>E24/E$24</f>
        <v>1</v>
      </c>
      <c r="G24" s="84">
        <f>SUM(G19:G21)</f>
        <v>124.74758834999999</v>
      </c>
      <c r="H24" s="188">
        <f>G24/G$24</f>
        <v>1</v>
      </c>
      <c r="I24" s="2"/>
      <c r="J24" s="2"/>
      <c r="K24" s="2"/>
      <c r="L24" s="2"/>
      <c r="M24" s="2"/>
    </row>
    <row r="25" spans="1:13" ht="12" customHeight="1" x14ac:dyDescent="0.25">
      <c r="A25" s="2"/>
      <c r="B25" s="43" t="s">
        <v>2</v>
      </c>
      <c r="C25" s="48">
        <f>'Assumptions &amp; Monthly Breakdown'!S21</f>
        <v>36.037224525000006</v>
      </c>
      <c r="D25" s="45">
        <f>C25/C$24</f>
        <v>1.0010137162496429</v>
      </c>
      <c r="E25" s="189">
        <f>'Assumptions &amp; Monthly Breakdown'!AI21</f>
        <v>79.276187910000019</v>
      </c>
      <c r="F25" s="45">
        <f>E25/E$24</f>
        <v>1.0009213756381501</v>
      </c>
      <c r="G25" s="190">
        <f>'Assumptions &amp; Monthly Breakdown'!AY21</f>
        <v>124.857031437375</v>
      </c>
      <c r="H25" s="45">
        <f>G25/G$24</f>
        <v>1.0008773162577536</v>
      </c>
      <c r="I25" s="2"/>
      <c r="J25" s="2"/>
      <c r="K25" s="2"/>
      <c r="L25" s="2"/>
      <c r="M25" s="2"/>
    </row>
    <row r="26" spans="1:13" ht="12" customHeight="1" x14ac:dyDescent="0.25">
      <c r="A26" s="2"/>
      <c r="B26" s="191" t="str">
        <f>'Assumptions &amp; Monthly Breakdown'!F22</f>
        <v>Controllable Expenses:</v>
      </c>
      <c r="C26" s="21"/>
      <c r="D26" s="23"/>
      <c r="E26" s="192"/>
      <c r="F26" s="23"/>
      <c r="G26" s="192"/>
      <c r="H26" s="23"/>
      <c r="I26" s="2"/>
      <c r="J26" s="2"/>
      <c r="K26" s="2"/>
      <c r="L26" s="2"/>
      <c r="M26" s="2"/>
    </row>
    <row r="27" spans="1:13" ht="12" customHeight="1" x14ac:dyDescent="0.25">
      <c r="A27" s="2"/>
      <c r="B27" s="193" t="str">
        <f>'Assumptions &amp; Monthly Breakdown'!F23</f>
        <v>Officer Salary</v>
      </c>
      <c r="C27" s="82">
        <f>'Assumptions &amp; Monthly Breakdown'!S23</f>
        <v>1200</v>
      </c>
      <c r="D27" s="188">
        <f t="shared" ref="D27:D39" si="3">C27/$C$39</f>
        <v>0.10827683666110266</v>
      </c>
      <c r="E27" s="183">
        <f>'Assumptions &amp; Monthly Breakdown'!AI23</f>
        <v>1236</v>
      </c>
      <c r="F27" s="188">
        <f t="shared" ref="F27:F39" si="4">E27/$E$39</f>
        <v>0.10824685385719887</v>
      </c>
      <c r="G27" s="183">
        <f>'Assumptions &amp; Monthly Breakdown'!AY23</f>
        <v>1273.08</v>
      </c>
      <c r="H27" s="188">
        <f t="shared" ref="H27:H39" si="5">G27/$G$39</f>
        <v>0.10821703944286609</v>
      </c>
      <c r="I27" s="2"/>
      <c r="J27" s="2"/>
      <c r="K27" s="2"/>
      <c r="L27" s="2"/>
      <c r="M27" s="2"/>
    </row>
    <row r="28" spans="1:13" ht="12" customHeight="1" x14ac:dyDescent="0.25">
      <c r="A28" s="2"/>
      <c r="B28" s="193" t="str">
        <f>'Assumptions &amp; Monthly Breakdown'!F24</f>
        <v>Salaries and Wages</v>
      </c>
      <c r="C28" s="82">
        <f>'Assumptions &amp; Monthly Breakdown'!S24</f>
        <v>1200</v>
      </c>
      <c r="D28" s="188">
        <f t="shared" si="3"/>
        <v>0.10827683666110266</v>
      </c>
      <c r="E28" s="183">
        <f>'Assumptions &amp; Monthly Breakdown'!AI24</f>
        <v>1236</v>
      </c>
      <c r="F28" s="188">
        <f t="shared" si="4"/>
        <v>0.10824685385719887</v>
      </c>
      <c r="G28" s="183">
        <f>'Assumptions &amp; Monthly Breakdown'!AY24</f>
        <v>1273.08</v>
      </c>
      <c r="H28" s="188">
        <f t="shared" si="5"/>
        <v>0.10821703944286609</v>
      </c>
      <c r="I28" s="2"/>
      <c r="J28" s="2"/>
      <c r="K28" s="2"/>
      <c r="L28" s="2"/>
      <c r="M28" s="2"/>
    </row>
    <row r="29" spans="1:13" ht="12" customHeight="1" x14ac:dyDescent="0.25">
      <c r="A29" s="2"/>
      <c r="B29" s="193" t="str">
        <f>'Assumptions &amp; Monthly Breakdown'!F25</f>
        <v>Payroll Taxes</v>
      </c>
      <c r="C29" s="82">
        <f>'Assumptions &amp; Monthly Breakdown'!S25</f>
        <v>480</v>
      </c>
      <c r="D29" s="188">
        <f t="shared" si="3"/>
        <v>4.3310734664441061E-2</v>
      </c>
      <c r="E29" s="183">
        <f>'Assumptions &amp; Monthly Breakdown'!AI25</f>
        <v>494.40000000000003</v>
      </c>
      <c r="F29" s="188">
        <f t="shared" si="4"/>
        <v>4.3298741542879549E-2</v>
      </c>
      <c r="G29" s="183">
        <f>'Assumptions &amp; Monthly Breakdown'!AY25</f>
        <v>509.23200000000003</v>
      </c>
      <c r="H29" s="188">
        <f t="shared" si="5"/>
        <v>4.3286815777146444E-2</v>
      </c>
      <c r="I29" s="2"/>
      <c r="J29" s="2"/>
      <c r="K29" s="2"/>
      <c r="L29" s="2"/>
      <c r="M29" s="2"/>
    </row>
    <row r="30" spans="1:13" ht="12" customHeight="1" x14ac:dyDescent="0.25">
      <c r="A30" s="2"/>
      <c r="B30" s="193" t="str">
        <f>'Assumptions &amp; Monthly Breakdown'!F26</f>
        <v>Advertising</v>
      </c>
      <c r="C30" s="82">
        <f>'Assumptions &amp; Monthly Breakdown'!S26</f>
        <v>1.4414891999999997</v>
      </c>
      <c r="D30" s="188">
        <f t="shared" si="3"/>
        <v>1.300665755476196E-4</v>
      </c>
      <c r="E30" s="183">
        <f>'Assumptions &amp; Monthly Breakdown'!AI26</f>
        <v>3.1710484800000001</v>
      </c>
      <c r="F30" s="188">
        <f t="shared" si="4"/>
        <v>2.7771522766072219E-4</v>
      </c>
      <c r="G30" s="183">
        <f>'Assumptions &amp; Monthly Breakdown'!AY26</f>
        <v>4.9942835339999982</v>
      </c>
      <c r="H30" s="188">
        <f t="shared" si="5"/>
        <v>4.2453465468606411E-4</v>
      </c>
      <c r="I30" s="2"/>
      <c r="J30" s="2"/>
      <c r="K30" s="2"/>
      <c r="L30" s="2"/>
      <c r="M30" s="2"/>
    </row>
    <row r="31" spans="1:13" ht="12" customHeight="1" x14ac:dyDescent="0.25">
      <c r="A31" s="2"/>
      <c r="B31" s="193" t="str">
        <f>'Assumptions &amp; Monthly Breakdown'!F27</f>
        <v>Credit Card Fees</v>
      </c>
      <c r="C31" s="82">
        <f>'Assumptions &amp; Monthly Breakdown'!S27</f>
        <v>1.2613030499999998</v>
      </c>
      <c r="D31" s="188">
        <f t="shared" si="3"/>
        <v>1.1380825360416714E-4</v>
      </c>
      <c r="E31" s="183">
        <f>'Assumptions &amp; Monthly Breakdown'!AI27</f>
        <v>2.7746674200000001</v>
      </c>
      <c r="F31" s="188">
        <f t="shared" si="4"/>
        <v>2.430008242031319E-4</v>
      </c>
      <c r="G31" s="183">
        <f>'Assumptions &amp; Monthly Breakdown'!AY27</f>
        <v>4.3699980922500004</v>
      </c>
      <c r="H31" s="188">
        <f t="shared" si="5"/>
        <v>3.7146782285030623E-4</v>
      </c>
      <c r="I31" s="2"/>
      <c r="J31" s="2"/>
      <c r="K31" s="2"/>
      <c r="L31" s="2"/>
      <c r="M31" s="2"/>
    </row>
    <row r="32" spans="1:13" ht="12" customHeight="1" x14ac:dyDescent="0.25">
      <c r="A32" s="2"/>
      <c r="B32" s="193" t="str">
        <f>'Assumptions &amp; Monthly Breakdown'!F28</f>
        <v>Legal / Accounting</v>
      </c>
      <c r="C32" s="82">
        <f>'Assumptions &amp; Monthly Breakdown'!S28</f>
        <v>1200</v>
      </c>
      <c r="D32" s="188">
        <f t="shared" si="3"/>
        <v>0.10827683666110266</v>
      </c>
      <c r="E32" s="183">
        <f>'Assumptions &amp; Monthly Breakdown'!AI28</f>
        <v>1236</v>
      </c>
      <c r="F32" s="188">
        <f t="shared" si="4"/>
        <v>0.10824685385719887</v>
      </c>
      <c r="G32" s="183">
        <f>'Assumptions &amp; Monthly Breakdown'!AY28</f>
        <v>1273.08</v>
      </c>
      <c r="H32" s="188">
        <f t="shared" si="5"/>
        <v>0.10821703944286609</v>
      </c>
      <c r="I32" s="2"/>
      <c r="J32" s="2"/>
      <c r="K32" s="2"/>
      <c r="L32" s="2"/>
      <c r="M32" s="2"/>
    </row>
    <row r="33" spans="1:13" ht="12" customHeight="1" x14ac:dyDescent="0.25">
      <c r="A33" s="2"/>
      <c r="B33" s="193" t="str">
        <f>'Assumptions &amp; Monthly Breakdown'!F29</f>
        <v>Office Supplies</v>
      </c>
      <c r="C33" s="82">
        <f>'Assumptions &amp; Monthly Breakdown'!S29</f>
        <v>1200</v>
      </c>
      <c r="D33" s="188">
        <f t="shared" si="3"/>
        <v>0.10827683666110266</v>
      </c>
      <c r="E33" s="183">
        <f>'Assumptions &amp; Monthly Breakdown'!AI29</f>
        <v>1236</v>
      </c>
      <c r="F33" s="188">
        <f t="shared" si="4"/>
        <v>0.10824685385719887</v>
      </c>
      <c r="G33" s="183">
        <f>'Assumptions &amp; Monthly Breakdown'!AY29</f>
        <v>1273.08</v>
      </c>
      <c r="H33" s="188">
        <f t="shared" si="5"/>
        <v>0.10821703944286609</v>
      </c>
      <c r="I33" s="2"/>
      <c r="J33" s="2"/>
      <c r="K33" s="2"/>
      <c r="L33" s="2"/>
      <c r="M33" s="2"/>
    </row>
    <row r="34" spans="1:13" ht="12" customHeight="1" x14ac:dyDescent="0.25">
      <c r="A34" s="2"/>
      <c r="B34" s="193" t="str">
        <f>'Assumptions &amp; Monthly Breakdown'!F30</f>
        <v>Repairs / Maintenance</v>
      </c>
      <c r="C34" s="82">
        <f>'Assumptions &amp; Monthly Breakdown'!S30</f>
        <v>1000</v>
      </c>
      <c r="D34" s="188">
        <f t="shared" si="3"/>
        <v>9.0230697217585545E-2</v>
      </c>
      <c r="E34" s="183">
        <f>'Assumptions &amp; Monthly Breakdown'!AI30</f>
        <v>1030</v>
      </c>
      <c r="F34" s="188">
        <f t="shared" si="4"/>
        <v>9.0205711547665726E-2</v>
      </c>
      <c r="G34" s="183">
        <f>'Assumptions &amp; Monthly Breakdown'!AY30</f>
        <v>1060.9000000000001</v>
      </c>
      <c r="H34" s="188">
        <f t="shared" si="5"/>
        <v>9.0180866202388424E-2</v>
      </c>
      <c r="I34" s="2"/>
      <c r="J34" s="2"/>
      <c r="K34" s="2"/>
      <c r="L34" s="2"/>
      <c r="M34" s="2"/>
    </row>
    <row r="35" spans="1:13" ht="12" customHeight="1" x14ac:dyDescent="0.25">
      <c r="A35" s="2"/>
      <c r="B35" s="193" t="str">
        <f>'Assumptions &amp; Monthly Breakdown'!F31</f>
        <v>Telephone</v>
      </c>
      <c r="C35" s="82">
        <f>'Assumptions &amp; Monthly Breakdown'!S31</f>
        <v>1200</v>
      </c>
      <c r="D35" s="188">
        <f t="shared" si="3"/>
        <v>0.10827683666110266</v>
      </c>
      <c r="E35" s="183">
        <f>'Assumptions &amp; Monthly Breakdown'!AI31</f>
        <v>1236</v>
      </c>
      <c r="F35" s="188">
        <f t="shared" si="4"/>
        <v>0.10824685385719887</v>
      </c>
      <c r="G35" s="183">
        <f>'Assumptions &amp; Monthly Breakdown'!AY31</f>
        <v>1273.08</v>
      </c>
      <c r="H35" s="188">
        <f t="shared" si="5"/>
        <v>0.10821703944286609</v>
      </c>
      <c r="I35" s="2"/>
      <c r="J35" s="2"/>
      <c r="K35" s="2"/>
      <c r="L35" s="2"/>
      <c r="M35" s="2"/>
    </row>
    <row r="36" spans="1:13" ht="12" customHeight="1" x14ac:dyDescent="0.25">
      <c r="A36" s="2"/>
      <c r="B36" s="193" t="s">
        <v>38</v>
      </c>
      <c r="C36" s="82">
        <f>'Assumptions &amp; Monthly Breakdown'!S32</f>
        <v>1200</v>
      </c>
      <c r="D36" s="188">
        <f t="shared" si="3"/>
        <v>0.10827683666110266</v>
      </c>
      <c r="E36" s="183">
        <f>'Assumptions &amp; Monthly Breakdown'!AI32</f>
        <v>1236</v>
      </c>
      <c r="F36" s="188">
        <f t="shared" si="4"/>
        <v>0.10824685385719887</v>
      </c>
      <c r="G36" s="183">
        <f>'Assumptions &amp; Monthly Breakdown'!AY32</f>
        <v>1273.08</v>
      </c>
      <c r="H36" s="188">
        <f t="shared" si="5"/>
        <v>0.10821703944286609</v>
      </c>
      <c r="I36" s="2"/>
      <c r="J36" s="2"/>
      <c r="K36" s="2"/>
      <c r="L36" s="2"/>
      <c r="M36" s="2"/>
    </row>
    <row r="37" spans="1:13" ht="12" customHeight="1" x14ac:dyDescent="0.25">
      <c r="A37" s="2"/>
      <c r="B37" s="193" t="str">
        <f>'Assumptions &amp; Monthly Breakdown'!F33</f>
        <v>Utilities</v>
      </c>
      <c r="C37" s="82">
        <f>'Assumptions &amp; Monthly Breakdown'!S33</f>
        <v>1200</v>
      </c>
      <c r="D37" s="188">
        <f t="shared" si="3"/>
        <v>0.10827683666110266</v>
      </c>
      <c r="E37" s="183">
        <f>'Assumptions &amp; Monthly Breakdown'!AI33</f>
        <v>1236</v>
      </c>
      <c r="F37" s="188">
        <f t="shared" si="4"/>
        <v>0.10824685385719887</v>
      </c>
      <c r="G37" s="183">
        <f>'Assumptions &amp; Monthly Breakdown'!AY33</f>
        <v>1273.08</v>
      </c>
      <c r="H37" s="188">
        <f t="shared" si="5"/>
        <v>0.10821703944286609</v>
      </c>
      <c r="I37" s="2"/>
      <c r="J37" s="2"/>
      <c r="K37" s="2"/>
      <c r="L37" s="2"/>
      <c r="M37" s="2"/>
    </row>
    <row r="38" spans="1:13" ht="12" customHeight="1" x14ac:dyDescent="0.25">
      <c r="A38" s="2"/>
      <c r="B38" s="193" t="str">
        <f>'Assumptions &amp; Monthly Breakdown'!F34</f>
        <v>Software Fees</v>
      </c>
      <c r="C38" s="82">
        <f>'Assumptions &amp; Monthly Breakdown'!S34</f>
        <v>1200</v>
      </c>
      <c r="D38" s="188">
        <f t="shared" si="3"/>
        <v>0.10827683666110266</v>
      </c>
      <c r="E38" s="183">
        <f>'Assumptions &amp; Monthly Breakdown'!AI34</f>
        <v>1236</v>
      </c>
      <c r="F38" s="188">
        <f t="shared" si="4"/>
        <v>0.10824685385719887</v>
      </c>
      <c r="G38" s="183">
        <f>'Assumptions &amp; Monthly Breakdown'!AY34</f>
        <v>1273.08</v>
      </c>
      <c r="H38" s="188">
        <f t="shared" si="5"/>
        <v>0.10821703944286609</v>
      </c>
      <c r="I38" s="2"/>
      <c r="J38" s="2"/>
      <c r="K38" s="2"/>
      <c r="L38" s="2"/>
      <c r="M38" s="2"/>
    </row>
    <row r="39" spans="1:13" ht="12" customHeight="1" x14ac:dyDescent="0.25">
      <c r="A39" s="2"/>
      <c r="B39" s="191" t="str">
        <f>'Assumptions &amp; Monthly Breakdown'!F35</f>
        <v>Total Controllable Expenses</v>
      </c>
      <c r="C39" s="85">
        <f>'Assumptions &amp; Monthly Breakdown'!S35</f>
        <v>11082.702792250004</v>
      </c>
      <c r="D39" s="194">
        <f t="shared" si="3"/>
        <v>1</v>
      </c>
      <c r="E39" s="195">
        <f>'Assumptions &amp; Monthly Breakdown'!AI35</f>
        <v>11418.345715899999</v>
      </c>
      <c r="F39" s="194">
        <f t="shared" si="4"/>
        <v>1</v>
      </c>
      <c r="G39" s="195">
        <f>'Assumptions &amp; Monthly Breakdown'!AY35</f>
        <v>11764.13628162625</v>
      </c>
      <c r="H39" s="194">
        <f t="shared" si="5"/>
        <v>1</v>
      </c>
      <c r="I39" s="2"/>
      <c r="J39" s="2"/>
      <c r="K39" s="2"/>
      <c r="L39" s="2"/>
      <c r="M39" s="2"/>
    </row>
    <row r="40" spans="1:13" ht="12" customHeight="1" x14ac:dyDescent="0.25">
      <c r="A40" s="2"/>
      <c r="B40" s="191" t="str">
        <f>'Assumptions &amp; Monthly Breakdown'!F36</f>
        <v>Fixed Expenses:</v>
      </c>
      <c r="C40" s="21"/>
      <c r="D40" s="23"/>
      <c r="E40" s="192"/>
      <c r="F40" s="23"/>
      <c r="G40" s="192"/>
      <c r="H40" s="23"/>
      <c r="I40" s="2"/>
      <c r="J40" s="2"/>
      <c r="K40" s="2"/>
      <c r="L40" s="2"/>
      <c r="M40" s="2"/>
    </row>
    <row r="41" spans="1:13" ht="12" customHeight="1" x14ac:dyDescent="0.25">
      <c r="A41" s="2"/>
      <c r="B41" s="193" t="str">
        <f>'Assumptions &amp; Monthly Breakdown'!F37</f>
        <v>Rent &amp; CAM*</v>
      </c>
      <c r="C41" s="82">
        <f>'Assumptions &amp; Monthly Breakdown'!S37</f>
        <v>0</v>
      </c>
      <c r="D41" s="188">
        <f>C41/C$24</f>
        <v>0</v>
      </c>
      <c r="E41" s="183">
        <f>'Assumptions &amp; Monthly Breakdown'!AI37</f>
        <v>0</v>
      </c>
      <c r="F41" s="188">
        <f>E41/E$24</f>
        <v>0</v>
      </c>
      <c r="G41" s="183">
        <f>'Assumptions &amp; Monthly Breakdown'!AY37</f>
        <v>0</v>
      </c>
      <c r="H41" s="188">
        <f>G41/G$24</f>
        <v>0</v>
      </c>
      <c r="I41" s="2"/>
      <c r="J41" s="2"/>
      <c r="K41" s="2"/>
      <c r="L41" s="2"/>
      <c r="M41" s="2"/>
    </row>
    <row r="42" spans="1:13" ht="12" customHeight="1" x14ac:dyDescent="0.25">
      <c r="A42" s="2"/>
      <c r="B42" s="193" t="str">
        <f>'Assumptions &amp; Monthly Breakdown'!F38</f>
        <v>Insurance (All)</v>
      </c>
      <c r="C42" s="82">
        <f>'Assumptions &amp; Monthly Breakdown'!S38</f>
        <v>1200</v>
      </c>
      <c r="D42" s="188">
        <f t="shared" ref="D42:H53" si="6">C42/C$24</f>
        <v>33.332657421113403</v>
      </c>
      <c r="E42" s="183">
        <f>'Assumptions &amp; Monthly Breakdown'!AI38</f>
        <v>1236</v>
      </c>
      <c r="F42" s="188">
        <f t="shared" ref="F42:F49" si="7">E42/E$24</f>
        <v>15.605427719269773</v>
      </c>
      <c r="G42" s="183">
        <f>'Assumptions &amp; Monthly Breakdown'!AY38</f>
        <v>1273.08</v>
      </c>
      <c r="H42" s="188">
        <f t="shared" ref="H42:H49" si="8">G42/G$24</f>
        <v>10.205247386652186</v>
      </c>
      <c r="I42" s="2"/>
      <c r="J42" s="2"/>
      <c r="K42" s="2"/>
      <c r="L42" s="2"/>
      <c r="M42" s="2"/>
    </row>
    <row r="43" spans="1:13" ht="12" customHeight="1" x14ac:dyDescent="0.25">
      <c r="A43" s="2"/>
      <c r="B43" s="193" t="str">
        <f>'Assumptions &amp; Monthly Breakdown'!F39</f>
        <v>Licenses / Permits</v>
      </c>
      <c r="C43" s="82">
        <f>'Assumptions &amp; Monthly Breakdown'!S39</f>
        <v>1200</v>
      </c>
      <c r="D43" s="188">
        <f t="shared" si="6"/>
        <v>33.332657421113403</v>
      </c>
      <c r="E43" s="183">
        <f>'Assumptions &amp; Monthly Breakdown'!AI39</f>
        <v>1236</v>
      </c>
      <c r="F43" s="188">
        <f t="shared" si="7"/>
        <v>15.605427719269773</v>
      </c>
      <c r="G43" s="183">
        <f>'Assumptions &amp; Monthly Breakdown'!AY39</f>
        <v>1273.08</v>
      </c>
      <c r="H43" s="188">
        <f t="shared" si="8"/>
        <v>10.205247386652186</v>
      </c>
      <c r="I43" s="2"/>
      <c r="J43" s="2"/>
      <c r="K43" s="2"/>
      <c r="L43" s="2"/>
      <c r="M43" s="2"/>
    </row>
    <row r="44" spans="1:13" ht="12" customHeight="1" x14ac:dyDescent="0.25">
      <c r="A44" s="2"/>
      <c r="B44" s="193" t="str">
        <f>'Assumptions &amp; Monthly Breakdown'!F40</f>
        <v>Sales Tax</v>
      </c>
      <c r="C44" s="82">
        <f>'Assumptions &amp; Monthly Breakdown'!S40</f>
        <v>0.36037229999999992</v>
      </c>
      <c r="D44" s="188">
        <f t="shared" si="6"/>
        <v>1.0010138683298919E-2</v>
      </c>
      <c r="E44" s="183">
        <f>'Assumptions &amp; Monthly Breakdown'!AI40</f>
        <v>0.37118346899999993</v>
      </c>
      <c r="F44" s="188">
        <f t="shared" si="7"/>
        <v>4.6864698997308345E-3</v>
      </c>
      <c r="G44" s="183">
        <f>'Assumptions &amp; Monthly Breakdown'!AY40</f>
        <v>1.2485708834999996</v>
      </c>
      <c r="H44" s="188">
        <f t="shared" si="8"/>
        <v>1.0008777724799998E-2</v>
      </c>
      <c r="I44" s="2"/>
      <c r="J44" s="2"/>
      <c r="K44" s="2"/>
      <c r="L44" s="2"/>
      <c r="M44" s="2"/>
    </row>
    <row r="45" spans="1:13" ht="12" customHeight="1" x14ac:dyDescent="0.25">
      <c r="A45" s="2"/>
      <c r="B45" s="193" t="str">
        <f>'Assumptions &amp; Monthly Breakdown'!F41</f>
        <v>Royalties</v>
      </c>
      <c r="C45" s="82">
        <f>'Assumptions &amp; Monthly Breakdown'!S41</f>
        <v>0</v>
      </c>
      <c r="D45" s="188">
        <f t="shared" si="6"/>
        <v>0</v>
      </c>
      <c r="E45" s="183">
        <f>'Assumptions &amp; Monthly Breakdown'!AI41</f>
        <v>0</v>
      </c>
      <c r="F45" s="188">
        <f t="shared" si="7"/>
        <v>0</v>
      </c>
      <c r="G45" s="183">
        <f>'Assumptions &amp; Monthly Breakdown'!AY41</f>
        <v>0</v>
      </c>
      <c r="H45" s="188">
        <f t="shared" si="8"/>
        <v>0</v>
      </c>
      <c r="I45" s="2"/>
      <c r="K45" s="2"/>
      <c r="L45" s="2"/>
      <c r="M45" s="2"/>
    </row>
    <row r="46" spans="1:13" ht="12" customHeight="1" x14ac:dyDescent="0.25">
      <c r="A46" s="2"/>
      <c r="B46" s="193" t="str">
        <f>'Assumptions &amp; Monthly Breakdown'!F42</f>
        <v>Operating Expenses</v>
      </c>
      <c r="C46" s="82">
        <f>'Assumptions &amp; Monthly Breakdown'!S42</f>
        <v>16800</v>
      </c>
      <c r="D46" s="188">
        <f t="shared" si="6"/>
        <v>466.6572038955876</v>
      </c>
      <c r="E46" s="183">
        <f>'Assumptions &amp; Monthly Breakdown'!AI42</f>
        <v>17304</v>
      </c>
      <c r="F46" s="188">
        <f t="shared" si="7"/>
        <v>218.47598806977683</v>
      </c>
      <c r="G46" s="183">
        <f>'Assumptions &amp; Monthly Breakdown'!AY42</f>
        <v>17823.12</v>
      </c>
      <c r="H46" s="188">
        <f t="shared" si="8"/>
        <v>142.87346341313059</v>
      </c>
      <c r="I46" s="2"/>
      <c r="K46" s="2"/>
      <c r="L46" s="2"/>
      <c r="M46" s="2"/>
    </row>
    <row r="47" spans="1:13" ht="12" customHeight="1" x14ac:dyDescent="0.25">
      <c r="A47" s="2"/>
      <c r="B47" s="191" t="str">
        <f>'Assumptions &amp; Monthly Breakdown'!F43</f>
        <v>Total Fixed Expenses</v>
      </c>
      <c r="C47" s="85">
        <f>'Assumptions &amp; Monthly Breakdown'!S43</f>
        <v>19200.360372300001</v>
      </c>
      <c r="D47" s="194">
        <f t="shared" si="6"/>
        <v>533.3325288764978</v>
      </c>
      <c r="E47" s="195">
        <f>'Assumptions &amp; Monthly Breakdown'!AI43</f>
        <v>19776.371183469</v>
      </c>
      <c r="F47" s="194">
        <f t="shared" si="7"/>
        <v>249.6915299782161</v>
      </c>
      <c r="G47" s="195">
        <f>'Assumptions &amp; Monthly Breakdown'!AY43</f>
        <v>20370.5285708835</v>
      </c>
      <c r="H47" s="194">
        <f t="shared" si="8"/>
        <v>163.29396696415978</v>
      </c>
      <c r="I47" s="2"/>
      <c r="K47" s="2"/>
      <c r="L47" s="2"/>
      <c r="M47" s="2"/>
    </row>
    <row r="48" spans="1:13" ht="12" customHeight="1" x14ac:dyDescent="0.25">
      <c r="A48" s="2"/>
      <c r="B48" s="196" t="str">
        <f>'Assumptions &amp; Monthly Breakdown'!F44</f>
        <v>EBITDA* (Profit/(Loss) before Tax</v>
      </c>
      <c r="C48" s="86">
        <f>'Assumptions &amp; Monthly Breakdown'!S44</f>
        <v>-30247.025940025007</v>
      </c>
      <c r="D48" s="194">
        <f t="shared" si="6"/>
        <v>-840.17812805532003</v>
      </c>
      <c r="E48" s="195">
        <f>'Assumptions &amp; Monthly Breakdown'!AI44</f>
        <v>-31115.440711458999</v>
      </c>
      <c r="F48" s="194">
        <f t="shared" si="7"/>
        <v>-392.85579366981995</v>
      </c>
      <c r="G48" s="195">
        <f>'Assumptions &amp; Monthly Breakdown'!AY44</f>
        <v>-32009.807821072376</v>
      </c>
      <c r="H48" s="194">
        <f t="shared" si="8"/>
        <v>-256.59660635092655</v>
      </c>
      <c r="I48" s="2"/>
      <c r="J48" s="197" t="s">
        <v>101</v>
      </c>
      <c r="K48" s="2"/>
      <c r="L48" s="2"/>
      <c r="M48" s="2"/>
    </row>
    <row r="49" spans="1:13" ht="12" customHeight="1" x14ac:dyDescent="0.25">
      <c r="A49" s="2"/>
      <c r="B49" s="193" t="str">
        <f>'Assumptions &amp; Monthly Breakdown'!F45</f>
        <v>Depreciation &amp; Amortization</v>
      </c>
      <c r="C49" s="84">
        <f>'Assumptions &amp; Monthly Breakdown'!S45</f>
        <v>80</v>
      </c>
      <c r="D49" s="188">
        <f t="shared" si="6"/>
        <v>2.2221771614075601</v>
      </c>
      <c r="E49" s="183">
        <f>'Assumptions &amp; Monthly Breakdown'!AI45</f>
        <v>80</v>
      </c>
      <c r="F49" s="188">
        <f t="shared" si="7"/>
        <v>1.0100600465546778</v>
      </c>
      <c r="G49" s="183">
        <f>'Assumptions &amp; Monthly Breakdown'!AY45</f>
        <v>80</v>
      </c>
      <c r="H49" s="188">
        <f t="shared" si="8"/>
        <v>0.64129496255708585</v>
      </c>
      <c r="I49" s="2"/>
      <c r="J49" s="2" t="str">
        <f>Instructions!B59</f>
        <v>Business Finance Depot</v>
      </c>
      <c r="K49" s="2"/>
      <c r="L49" s="2"/>
      <c r="M49" s="2"/>
    </row>
    <row r="50" spans="1:13" ht="12" customHeight="1" x14ac:dyDescent="0.25">
      <c r="A50" s="2"/>
      <c r="B50" s="191" t="str">
        <f>'Assumptions &amp; Monthly Breakdown'!F46</f>
        <v>Total Expenses</v>
      </c>
      <c r="C50" s="84"/>
      <c r="D50" s="198"/>
      <c r="E50" s="183"/>
      <c r="F50" s="188"/>
      <c r="G50" s="183"/>
      <c r="H50" s="188"/>
      <c r="I50" s="2"/>
      <c r="J50" s="199" t="str">
        <f>Instructions!B60</f>
        <v>Paul Bosley</v>
      </c>
      <c r="K50" s="2"/>
      <c r="L50" s="2"/>
      <c r="M50" s="2"/>
    </row>
    <row r="51" spans="1:13" ht="12" customHeight="1" x14ac:dyDescent="0.25">
      <c r="A51" s="2"/>
      <c r="B51" s="200" t="str">
        <f>'Assumptions &amp; Monthly Breakdown'!F47</f>
        <v>Total Expenses before Interest Expense</v>
      </c>
      <c r="C51" s="84">
        <f>'Assumptions &amp; Monthly Breakdown'!S47</f>
        <v>30363.063164549993</v>
      </c>
      <c r="D51" s="188">
        <f t="shared" si="6"/>
        <v>843.40131893297689</v>
      </c>
      <c r="E51" s="183">
        <f>'Assumptions &amp; Monthly Breakdown'!AI47</f>
        <v>31275.138478019991</v>
      </c>
      <c r="F51" s="188">
        <f t="shared" si="6"/>
        <v>394.87209783891086</v>
      </c>
      <c r="G51" s="183">
        <f>'Assumptions &amp; Monthly Breakdown'!AY47</f>
        <v>32214.664852509752</v>
      </c>
      <c r="H51" s="188">
        <f t="shared" si="6"/>
        <v>258.23877862974138</v>
      </c>
      <c r="I51" s="2"/>
      <c r="J51" s="2" t="str">
        <f>Instructions!B61</f>
        <v>W: Businessfinancedepot.com</v>
      </c>
      <c r="K51" s="2"/>
      <c r="L51" s="2"/>
      <c r="M51" s="2"/>
    </row>
    <row r="52" spans="1:13" ht="15.75" x14ac:dyDescent="0.25">
      <c r="A52" s="2"/>
      <c r="B52" s="193" t="str">
        <f>'Assumptions &amp; Monthly Breakdown'!F48</f>
        <v>Interest Expense - SBA or Other</v>
      </c>
      <c r="C52" s="84">
        <f>'Assumptions &amp; Monthly Breakdown'!S48</f>
        <v>942.10238033910582</v>
      </c>
      <c r="D52" s="188">
        <f>C52/C$24</f>
        <v>26.168979916215747</v>
      </c>
      <c r="E52" s="183">
        <f>'Assumptions &amp; Monthly Breakdown'!AI48</f>
        <v>921.62189380999484</v>
      </c>
      <c r="F52" s="188">
        <f>E52/E$24</f>
        <v>11.636168162094172</v>
      </c>
      <c r="G52" s="183">
        <f>'Assumptions &amp; Monthly Breakdown'!AY48</f>
        <v>901.14140728088375</v>
      </c>
      <c r="H52" s="188">
        <f>G52/G$24</f>
        <v>7.2237180630104252</v>
      </c>
      <c r="I52" s="2"/>
      <c r="J52" s="2" t="str">
        <f>Instructions!B62</f>
        <v>E: Paul@BusinessFinanceDepot.com</v>
      </c>
      <c r="K52" s="2"/>
      <c r="L52" s="2"/>
      <c r="M52" s="2"/>
    </row>
    <row r="53" spans="1:13" ht="15.75" x14ac:dyDescent="0.25">
      <c r="A53" s="2"/>
      <c r="B53" s="10" t="str">
        <f>'Assumptions &amp; Monthly Breakdown'!F49</f>
        <v>Net Profit (Loss)</v>
      </c>
      <c r="C53" s="85">
        <f>'Assumptions &amp; Monthly Breakdown'!S49</f>
        <v>-31269.128320364103</v>
      </c>
      <c r="D53" s="194">
        <f t="shared" si="6"/>
        <v>-868.56928513294315</v>
      </c>
      <c r="E53" s="195">
        <f>'Assumptions &amp; Monthly Breakdown'!AI49</f>
        <v>-32117.484183919991</v>
      </c>
      <c r="F53" s="194">
        <f t="shared" si="6"/>
        <v>-405.50734462536695</v>
      </c>
      <c r="G53" s="195">
        <f>'Assumptions &amp; Monthly Breakdown'!AY49</f>
        <v>-32990.949228353267</v>
      </c>
      <c r="H53" s="194">
        <f t="shared" si="6"/>
        <v>-264.46161937649413</v>
      </c>
      <c r="I53" s="2"/>
      <c r="J53" s="2" t="str">
        <f>Instructions!B63</f>
        <v>P: 800-788-3884</v>
      </c>
      <c r="K53" s="2"/>
      <c r="L53" s="2"/>
      <c r="M53" s="2"/>
    </row>
    <row r="54" spans="1:13" ht="12" customHeight="1" x14ac:dyDescent="0.25">
      <c r="A54" s="2"/>
      <c r="B54" s="117"/>
      <c r="C54" s="20"/>
      <c r="D54" s="141"/>
      <c r="E54" s="201"/>
      <c r="F54" s="141"/>
      <c r="G54" s="201"/>
      <c r="H54" s="141"/>
      <c r="I54" s="2"/>
      <c r="J54" s="2"/>
      <c r="K54" s="2"/>
      <c r="L54" s="2"/>
      <c r="M54" s="2"/>
    </row>
    <row r="55" spans="1:13" ht="15.75" x14ac:dyDescent="0.25">
      <c r="A55" s="2"/>
      <c r="C55" s="20"/>
      <c r="D55" s="141"/>
      <c r="E55" s="201"/>
      <c r="F55" s="141"/>
      <c r="G55" s="201"/>
      <c r="H55" s="141"/>
      <c r="I55" s="2"/>
      <c r="J55" s="2"/>
      <c r="K55" s="2"/>
      <c r="L55" s="2"/>
      <c r="M55" s="2"/>
    </row>
    <row r="56" spans="1:13" ht="39.75" customHeight="1" x14ac:dyDescent="0.25">
      <c r="A56" s="2"/>
      <c r="C56" s="20"/>
      <c r="D56" s="141"/>
      <c r="E56" s="201"/>
      <c r="F56" s="141"/>
      <c r="G56" s="201"/>
      <c r="H56" s="141"/>
      <c r="I56" s="2"/>
      <c r="J56" s="202"/>
      <c r="K56" s="202"/>
      <c r="L56" s="202"/>
      <c r="M56" s="202"/>
    </row>
    <row r="57" spans="1:13" ht="15.75" x14ac:dyDescent="0.25">
      <c r="A57" s="2"/>
      <c r="C57" s="202"/>
      <c r="D57" s="202"/>
      <c r="E57" s="202"/>
      <c r="F57" s="202"/>
      <c r="G57" s="202"/>
      <c r="H57" s="202"/>
      <c r="I57" s="2"/>
      <c r="J57" s="2"/>
      <c r="K57" s="2"/>
      <c r="L57" s="2"/>
      <c r="M57" s="2"/>
    </row>
    <row r="58" spans="1:13" ht="12.6" customHeight="1" x14ac:dyDescent="0.25">
      <c r="I58" s="2"/>
    </row>
    <row r="59" spans="1:13" ht="15.75" x14ac:dyDescent="0.25">
      <c r="B59" s="2" t="s">
        <v>123</v>
      </c>
      <c r="C59" s="2"/>
      <c r="D59" s="2"/>
      <c r="E59" s="2"/>
      <c r="F59" s="2"/>
      <c r="I59" s="202"/>
    </row>
    <row r="60" spans="1:13" ht="13.9" customHeight="1" x14ac:dyDescent="0.25">
      <c r="B60" s="2"/>
      <c r="C60" s="2"/>
      <c r="D60" s="2"/>
      <c r="E60" s="2"/>
      <c r="F60" s="2"/>
      <c r="I60" s="2"/>
    </row>
    <row r="61" spans="1:13" ht="15.75" x14ac:dyDescent="0.25">
      <c r="B61" s="2"/>
      <c r="C61" s="2"/>
      <c r="D61" s="2"/>
      <c r="E61" s="2"/>
      <c r="F61" s="2"/>
    </row>
  </sheetData>
  <sheetProtection algorithmName="SHA-512" hashValue="oJicL2Zh2dBu/uYw5G6g+anp5w3yyU35duu5+N0r+zuKlYHiYxYlAo24ta8GT2Ln29niWfRa094ZJyIwS7AeFA==" saltValue="/bxKluXsS4deUxAlcnbkSg==" spinCount="100000" sheet="1" objects="1" scenarios="1"/>
  <mergeCells count="2">
    <mergeCell ref="B7:H7"/>
    <mergeCell ref="B15:H15"/>
  </mergeCells>
  <phoneticPr fontId="6" type="noConversion"/>
  <printOptions horizontalCentered="1"/>
  <pageMargins left="0.25" right="0.25" top="0.75" bottom="0.75" header="0.3" footer="0.3"/>
  <pageSetup scale="70" orientation="portrait" horizontalDpi="4294967293" r:id="rId1"/>
  <headerFooter alignWithMargins="0"/>
  <ignoredErrors>
    <ignoredError sqref="E25:E26 E53 E47 E51 D24 F24" formula="1"/>
    <ignoredError sqref="G27:G31 G53 G51 E27:E31 G47:G48 G41:G44 E45:E46 G45:G46 E48 E49 G49 G25 E23 G23 G32:G39 E32:E44" formula="1" unlockedFormula="1"/>
    <ignoredError sqref="B47:B48 B45:B46 B50:B51 B53 E19 E20:E2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Assumptions &amp; Monthly Breakdown</vt:lpstr>
      <vt:lpstr>Loan Summary | Use of Funds</vt:lpstr>
      <vt:lpstr>Three-Year Detailed Projections</vt:lpstr>
      <vt:lpstr>'Assumptions &amp; Monthly Breakdown'!Print_Area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Fitness Template</dc:title>
  <dc:creator/>
  <dc:description>W: Businessfinancedepot.com_x000d_
E: Paul@BusinessFinanceDepot.com_x000d_
P: 800-788-3884</dc:description>
  <cp:lastModifiedBy/>
  <dcterms:created xsi:type="dcterms:W3CDTF">2021-07-27T01:50:44Z</dcterms:created>
  <dcterms:modified xsi:type="dcterms:W3CDTF">2026-09-26T07:54:11Z</dcterms:modified>
</cp:coreProperties>
</file>